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DB I" sheetId="1" r:id="rId1"/>
    <sheet name="DB II" sheetId="2" r:id="rId2"/>
    <sheet name="BEP I" sheetId="3" r:id="rId3"/>
    <sheet name="BEP II" sheetId="4" r:id="rId4"/>
    <sheet name="Umsatzplan" sheetId="5" r:id="rId5"/>
    <sheet name="Produktionsplan" sheetId="6" r:id="rId6"/>
    <sheet name="Materialplan" sheetId="7" r:id="rId7"/>
    <sheet name="Arbeitsplan" sheetId="8" r:id="rId8"/>
    <sheet name="Gemeinkostenplan" sheetId="9" r:id="rId9"/>
    <sheet name="Lagerbestandsplan" sheetId="10" r:id="rId10"/>
    <sheet name="Vertriebsbudget" sheetId="11" r:id="rId11"/>
    <sheet name="Finanzplan" sheetId="12" r:id="rId12"/>
    <sheet name="PlanG&amp;V" sheetId="13" r:id="rId13"/>
    <sheet name="Planbilanz" sheetId="14" r:id="rId14"/>
  </sheets>
  <definedNames>
    <definedName name="A" localSheetId="1">'DB II'!$B$4</definedName>
    <definedName name="Anteil_A" localSheetId="2">'BEP I'!$B$8</definedName>
    <definedName name="Anteil_A" localSheetId="3">'BEP II'!$B$8</definedName>
    <definedName name="Anteil_B" localSheetId="2">'BEP I'!$C$8</definedName>
    <definedName name="Anteil_B" localSheetId="3">'BEP II'!$C$8</definedName>
    <definedName name="Anteil_C" localSheetId="2">'BEP I'!$D$8</definedName>
    <definedName name="Anteil_C" localSheetId="3">'BEP II'!$D$8</definedName>
    <definedName name="Ausfall" localSheetId="4">'Umsatzplan'!$B$6</definedName>
    <definedName name="Barmittelvortrag" localSheetId="11">'Finanzplan'!$B$6</definedName>
    <definedName name="Barmittelvortrag" localSheetId="13">'Planbilanz'!#REF!</definedName>
    <definedName name="Barmittelvortrag" localSheetId="12">'PlanG&amp;V'!#REF!</definedName>
    <definedName name="BEP_Absatz" localSheetId="1">'DB II'!$C$11</definedName>
    <definedName name="BEP_Umsatz" localSheetId="2">'BEP I'!$B$15</definedName>
    <definedName name="BEP_Umsatz" localSheetId="3">'BEP II'!$B$15</definedName>
    <definedName name="BEP_Umsatz" localSheetId="1">'DB II'!$C$12</definedName>
    <definedName name="DB" localSheetId="1">'DB II'!$C$7</definedName>
    <definedName name="DBproz" localSheetId="1">'DB II'!$E$7</definedName>
    <definedName name="DBproz_A" localSheetId="2">'BEP I'!$B$11</definedName>
    <definedName name="DBproz_A" localSheetId="3">'BEP II'!$B$11</definedName>
    <definedName name="DBproz_C" localSheetId="2">'BEP I'!$D$11</definedName>
    <definedName name="DBproz_C" localSheetId="3">'BEP II'!$D$11</definedName>
    <definedName name="DBprozGesamt" localSheetId="2">'BEP I'!$E$11</definedName>
    <definedName name="DBprozGesamt" localSheetId="3">'BEP II'!$E$11</definedName>
    <definedName name="DBStk" localSheetId="1">'DB II'!$D$7</definedName>
    <definedName name="DPproz_B" localSheetId="2">'BEP I'!$C$11</definedName>
    <definedName name="DPproz_B" localSheetId="3">'BEP II'!$C$11</definedName>
    <definedName name="Eingang_sofort" localSheetId="4">'Umsatzplan'!$B$4</definedName>
    <definedName name="Eingang_später" localSheetId="4">'Umsatzplan'!$B$5</definedName>
    <definedName name="EinkaufGesamt" localSheetId="6">'Materialplan'!$F$12</definedName>
    <definedName name="EinkaufQ1" localSheetId="6">'Materialplan'!$B$12</definedName>
    <definedName name="EinkaufQ2" localSheetId="6">'Materialplan'!$C$12</definedName>
    <definedName name="EinkaufQ3" localSheetId="6">'Materialplan'!$D$12</definedName>
    <definedName name="EinkaufQ4" localSheetId="6">'Materialplan'!$E$12</definedName>
    <definedName name="F" localSheetId="1">'DB II'!$C$8</definedName>
    <definedName name="FK" localSheetId="2">'BEP I'!$E$12</definedName>
    <definedName name="FK" localSheetId="3">'BEP II'!$E$12</definedName>
    <definedName name="FK" localSheetId="1">'DB II'!$H$5</definedName>
    <definedName name="FKZinssatz" localSheetId="11">'Finanzplan'!$B$5</definedName>
    <definedName name="FKZinssatz" localSheetId="13">'Planbilanz'!#REF!</definedName>
    <definedName name="FKZinssatz" localSheetId="12">'PlanG&amp;V'!#REF!</definedName>
    <definedName name="gleichbezahlt" localSheetId="6">'Materialplan'!$C$14</definedName>
    <definedName name="Mindestbarmittel" localSheetId="11">'Finanzplan'!$B$4</definedName>
    <definedName name="Mindestbarmittel" localSheetId="13">'Planbilanz'!#REF!</definedName>
    <definedName name="Mindestbarmittel" localSheetId="12">'PlanG&amp;V'!#REF!</definedName>
    <definedName name="p" localSheetId="1">'DB II'!$H$3</definedName>
    <definedName name="späterbezahlt" localSheetId="6">'Materialplan'!$C$15</definedName>
    <definedName name="Steuersatz" localSheetId="1">'DB II'!$C$20</definedName>
    <definedName name="Stückpreis" localSheetId="1">'DB II'!$D$5</definedName>
    <definedName name="Target_Income" localSheetId="1">'DB II'!$C$15</definedName>
    <definedName name="U" localSheetId="1">'DB II'!$C$5</definedName>
    <definedName name="Umsatz_A" localSheetId="2">'BEP I'!$B$7</definedName>
    <definedName name="Umsatz_A" localSheetId="3">'BEP II'!$B$7</definedName>
    <definedName name="Umsatz_B" localSheetId="2">'BEP I'!$C$7</definedName>
    <definedName name="Umsatz_B" localSheetId="3">'BEP II'!$C$7</definedName>
    <definedName name="Umsatz_C" localSheetId="2">'BEP I'!$D$7</definedName>
    <definedName name="Umsatz_C" localSheetId="3">'BEP II'!$D$7</definedName>
    <definedName name="Umsatz_Gesamt" localSheetId="2">'BEP I'!$E$7</definedName>
    <definedName name="Umsatz_Gesamt" localSheetId="3">'BEP II'!$E$7</definedName>
    <definedName name="UmsatzGesamt" localSheetId="5">'Produktionsplan'!#REF!</definedName>
    <definedName name="UmsatzGesamt" localSheetId="4">'Umsatzplan'!$F$11</definedName>
    <definedName name="UmsatzQ1" localSheetId="5">'Produktionsplan'!#REF!</definedName>
    <definedName name="UmsatzQ1" localSheetId="4">'Umsatzplan'!$B$11</definedName>
    <definedName name="UmsatzQ2" localSheetId="5">'Produktionsplan'!#REF!</definedName>
    <definedName name="UmsatzQ2" localSheetId="4">'Umsatzplan'!$C$11</definedName>
    <definedName name="UmsatzQ3" localSheetId="5">'Produktionsplan'!#REF!</definedName>
    <definedName name="UmsatzQ3" localSheetId="4">'Umsatzplan'!$D$11</definedName>
    <definedName name="UmsatzQ4" localSheetId="5">'Produktionsplan'!#REF!</definedName>
    <definedName name="UmsatzQ4" localSheetId="4">'Umsatzplan'!$E$11</definedName>
    <definedName name="v" localSheetId="1">'DB II'!$H$4</definedName>
    <definedName name="vc" localSheetId="1">'DB II'!$C$6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Dr. H?rmann</author>
  </authors>
  <commentList>
    <comment ref="B7" authorId="0">
      <text>
        <r>
          <rPr>
            <b/>
            <sz val="8"/>
            <rFont val="Tahoma"/>
            <family val="0"/>
          </rPr>
          <t>10% der Absatzmenge des nachfolgenden Quartals.</t>
        </r>
      </text>
    </comment>
    <comment ref="E7" authorId="0">
      <text>
        <r>
          <rPr>
            <b/>
            <sz val="8"/>
            <rFont val="Tahoma"/>
            <family val="0"/>
          </rPr>
          <t>Geschätzter Wert!</t>
        </r>
      </text>
    </comment>
    <comment ref="B9" authorId="0">
      <text>
        <r>
          <rPr>
            <b/>
            <sz val="8"/>
            <rFont val="Tahoma"/>
            <family val="0"/>
          </rPr>
          <t>Entspricht dem Lagerbestand am Ende des vorhergehenden Quartals.</t>
        </r>
      </text>
    </comment>
  </commentList>
</comments>
</file>

<file path=xl/comments7.xml><?xml version="1.0" encoding="utf-8"?>
<comments xmlns="http://schemas.openxmlformats.org/spreadsheetml/2006/main">
  <authors>
    <author>Dr. H?rmann</author>
  </authors>
  <commentList>
    <comment ref="B7" authorId="0">
      <text>
        <r>
          <rPr>
            <b/>
            <sz val="8"/>
            <rFont val="Tahoma"/>
            <family val="0"/>
          </rPr>
          <t>10% des Produktionsmaterials des nächsten Monats.</t>
        </r>
      </text>
    </comment>
    <comment ref="E7" authorId="0">
      <text>
        <r>
          <rPr>
            <b/>
            <sz val="8"/>
            <rFont val="Tahoma"/>
            <family val="0"/>
          </rPr>
          <t>Geschätzter Wert.</t>
        </r>
      </text>
    </comment>
  </commentList>
</comments>
</file>

<file path=xl/sharedStrings.xml><?xml version="1.0" encoding="utf-8"?>
<sst xmlns="http://schemas.openxmlformats.org/spreadsheetml/2006/main" count="327" uniqueCount="211">
  <si>
    <t>Einfache Gewinnkalkulation</t>
  </si>
  <si>
    <t>Umsatzerlöse</t>
  </si>
  <si>
    <t>Herstellkosten</t>
  </si>
  <si>
    <t>Produktionsgewinn</t>
  </si>
  <si>
    <t>Vertriebskosten</t>
  </si>
  <si>
    <t>Verwaltungskosten</t>
  </si>
  <si>
    <t>Betriebsergebnis</t>
  </si>
  <si>
    <t>Deckungsbeitragsrechnung</t>
  </si>
  <si>
    <t>variable Kosten</t>
  </si>
  <si>
    <t xml:space="preserve">  Herstellkosten</t>
  </si>
  <si>
    <t xml:space="preserve">  Vertriebskosten</t>
  </si>
  <si>
    <t xml:space="preserve">  Verwaltungskosten</t>
  </si>
  <si>
    <t>Deckungsbeitrag</t>
  </si>
  <si>
    <t>Fixkosten</t>
  </si>
  <si>
    <t>Beispiel zur Deckungsbeitragsrechnung</t>
  </si>
  <si>
    <t>Absatzmenge</t>
  </si>
  <si>
    <t>Absatzmenge (Stk.)</t>
  </si>
  <si>
    <t>Gesamt</t>
  </si>
  <si>
    <t>pro Stück</t>
  </si>
  <si>
    <t>Prozent</t>
  </si>
  <si>
    <t>Ergebnis</t>
  </si>
  <si>
    <t>BEP-Absatzmenge</t>
  </si>
  <si>
    <t>BEP-Umsatzerlöse</t>
  </si>
  <si>
    <t>(Target Income Volume)</t>
  </si>
  <si>
    <t>var. Kosten</t>
  </si>
  <si>
    <t>Stückpreis</t>
  </si>
  <si>
    <t>Gesamtkosten</t>
  </si>
  <si>
    <t>Mindestabsatzmenge (Stk.)</t>
  </si>
  <si>
    <t>Zielgewinn</t>
  </si>
  <si>
    <t>Zielgewinn nach Steuern</t>
  </si>
  <si>
    <t>Steuersatz</t>
  </si>
  <si>
    <t>Mindestabsatzmenge</t>
  </si>
  <si>
    <t>Sicherheitsspanne</t>
  </si>
  <si>
    <t>Ausgehend von den vorhergehenden Daten wird erwartet, daß</t>
  </si>
  <si>
    <t>der Umsatz in der Folgeperiode um</t>
  </si>
  <si>
    <t>steigt.</t>
  </si>
  <si>
    <t>Welche Auswirkung wird dies auf den Gewinn haben?</t>
  </si>
  <si>
    <t>Gewinnänderung:</t>
  </si>
  <si>
    <t>der Absatz in der Folgeperiode um</t>
  </si>
  <si>
    <t>Stück steigt.</t>
  </si>
  <si>
    <t>Welcher Gewinn kann bei Umsätzen von</t>
  </si>
  <si>
    <t>erwartet werden?</t>
  </si>
  <si>
    <t>Deckungsbeitrag:</t>
  </si>
  <si>
    <t>abzüglich Fixkosten:</t>
  </si>
  <si>
    <t>Gewinn</t>
  </si>
  <si>
    <t>erwarteter Gewinn:</t>
  </si>
  <si>
    <t>Durch eine Werbekampagne, die Kosten in Höhe von</t>
  </si>
  <si>
    <t>verursacht, könnten die Umsätze um</t>
  </si>
  <si>
    <t>erhöht werden.</t>
  </si>
  <si>
    <t>Soll die Werbekampagne durchgeführt werden?</t>
  </si>
  <si>
    <t>Änderung des Deckungsbeitrags:</t>
  </si>
  <si>
    <t>abzüglich Kosten Werbung:</t>
  </si>
  <si>
    <t>Gewinnänderung</t>
  </si>
  <si>
    <t>Falls der Stückpreis um</t>
  </si>
  <si>
    <t xml:space="preserve">verringert würde und eine </t>
  </si>
  <si>
    <t>Werbekampagne um</t>
  </si>
  <si>
    <t>gestartet würde, könnte</t>
  </si>
  <si>
    <t>der Absatz um</t>
  </si>
  <si>
    <t>Soll dies versucht werden?</t>
  </si>
  <si>
    <t>Ist</t>
  </si>
  <si>
    <t>Plan</t>
  </si>
  <si>
    <t>Differenz</t>
  </si>
  <si>
    <t>Umsatz</t>
  </si>
  <si>
    <t>Beispiel zur BEP-Berechnung</t>
  </si>
  <si>
    <t>Es werden drei verschiedene Produkte erzeugt: A, B und C</t>
  </si>
  <si>
    <t>Produkt A</t>
  </si>
  <si>
    <t>Produkt B</t>
  </si>
  <si>
    <t>Produkt C</t>
  </si>
  <si>
    <t>Anteil am Produktprogramm</t>
  </si>
  <si>
    <t>DB</t>
  </si>
  <si>
    <t>DB-Prozentsatz</t>
  </si>
  <si>
    <t>Summe</t>
  </si>
  <si>
    <t>BEP-Umsatzerlös</t>
  </si>
  <si>
    <t>BEP für Produkt A</t>
  </si>
  <si>
    <t>BEP für Produkt B</t>
  </si>
  <si>
    <t>BEP für Produkt C</t>
  </si>
  <si>
    <t>Bei Änderungen des Produktprogramms verschiebt sich auch der BEP!</t>
  </si>
  <si>
    <t>Der DB-Prozentsatz für das Gesamtunternehmen ist durch die</t>
  </si>
  <si>
    <t>Änderung der Programmzusammensetzung gesunken!</t>
  </si>
  <si>
    <t>Umsatzplan für das Jahr X</t>
  </si>
  <si>
    <t>Quartal 1</t>
  </si>
  <si>
    <t>Quartal 2</t>
  </si>
  <si>
    <t>Quartal 3</t>
  </si>
  <si>
    <t>Quartal 4</t>
  </si>
  <si>
    <t>Gesamtjahr</t>
  </si>
  <si>
    <t>Erwartete Absatzmenge</t>
  </si>
  <si>
    <t>Verkaufspreis pro Stück</t>
  </si>
  <si>
    <t>Umsätze</t>
  </si>
  <si>
    <t>Finanzplan der erwarteten Einzahlungen</t>
  </si>
  <si>
    <t>Vorjahresforderungen</t>
  </si>
  <si>
    <t>Forderungseingang im selben Quartal:</t>
  </si>
  <si>
    <t>Forderungseingang im nächsten Quartal:</t>
  </si>
  <si>
    <t>endgültiger Forderungsausfall:</t>
  </si>
  <si>
    <t>aus Verkäufen 1. Quartal</t>
  </si>
  <si>
    <t>aus Verkäufen 2. Quartal</t>
  </si>
  <si>
    <t>aus Verkäufen 3. Quartal</t>
  </si>
  <si>
    <t>aus Verkäufen 4. Quartal</t>
  </si>
  <si>
    <t>Summe Einzahlungen</t>
  </si>
  <si>
    <t>Produktionsplan für das Jahr X</t>
  </si>
  <si>
    <t>Geplanter Absatz</t>
  </si>
  <si>
    <t>Geplante Lagerendbestände</t>
  </si>
  <si>
    <t>Erforderliche Produktionsmengen</t>
  </si>
  <si>
    <t>abzüglich Lagerbestand zu Quartalsbeginn</t>
  </si>
  <si>
    <t>Erforderliche Gesamtmengen</t>
  </si>
  <si>
    <t>Materialplan für das Jahr X</t>
  </si>
  <si>
    <t>Materialbedarf pro Stück</t>
  </si>
  <si>
    <t>Produktionsmaterial</t>
  </si>
  <si>
    <t>Gesamte Menge</t>
  </si>
  <si>
    <t>Erforderlicher Materialeinkauf</t>
  </si>
  <si>
    <t>Erwartete Auszahlungen</t>
  </si>
  <si>
    <t>Verbindlichkeiten Stand 31.12. Vorjahr</t>
  </si>
  <si>
    <t>Verbindlichkeiten im selben Quartal gezahlt:</t>
  </si>
  <si>
    <t>Verbindlichkeiten im Folgequartal gezahlt:</t>
  </si>
  <si>
    <t>Einkauf 1. Quartal</t>
  </si>
  <si>
    <t>Einkauf 2. Quartal</t>
  </si>
  <si>
    <t>Einkauf 3. Quartal</t>
  </si>
  <si>
    <t>Einkauf 4. Quartal</t>
  </si>
  <si>
    <t>Summe Auszahlungen</t>
  </si>
  <si>
    <t>Arbeitsplan für das Jahr X</t>
  </si>
  <si>
    <t>Arbeitsstunden pro Stück</t>
  </si>
  <si>
    <t>Stundensatz</t>
  </si>
  <si>
    <t>Gemeinkostenplan für das Jahr X</t>
  </si>
  <si>
    <t>geplante Arbeitsstunden</t>
  </si>
  <si>
    <t>Geplante Arbeitsstunden</t>
  </si>
  <si>
    <t>Gemeinkostenstundensatz</t>
  </si>
  <si>
    <t>Geplante variable Gemeinkosten</t>
  </si>
  <si>
    <t>Geplante fixe Gemeinkosten (inkl. Abschr)</t>
  </si>
  <si>
    <t>Summe geplante Gemeinkosten</t>
  </si>
  <si>
    <t>abzüglich Abschreibung</t>
  </si>
  <si>
    <t>Auszahlungswirksame Gemeinkosten</t>
  </si>
  <si>
    <t>Lagerbestandsplan für das Jahr X</t>
  </si>
  <si>
    <t>Fertigungsmaterial</t>
  </si>
  <si>
    <t>Fertigfabrikate</t>
  </si>
  <si>
    <t>Stück</t>
  </si>
  <si>
    <t>Preis/Stk.</t>
  </si>
  <si>
    <t>Gesamtwert</t>
  </si>
  <si>
    <t>Arbeitskosten</t>
  </si>
  <si>
    <t>Fertigungsmaterialkosten</t>
  </si>
  <si>
    <t>Fertigungsgemeinkosten</t>
  </si>
  <si>
    <t>Kosten/Stk.</t>
  </si>
  <si>
    <t>Anzahl</t>
  </si>
  <si>
    <t>Summe variable Fertigungskosten</t>
  </si>
  <si>
    <t>Vertriebs- und Verwaltungsbudget für das Jahr X</t>
  </si>
  <si>
    <t>var. Vertriebskosten pro Stk.</t>
  </si>
  <si>
    <t>geplante var. Vertriebskosten</t>
  </si>
  <si>
    <t>Fixe Vertriebs- und Verwaltungskosten</t>
  </si>
  <si>
    <t xml:space="preserve">   Werbung</t>
  </si>
  <si>
    <t xml:space="preserve">   Versicherungen</t>
  </si>
  <si>
    <t xml:space="preserve">   Büroarbeiten</t>
  </si>
  <si>
    <t xml:space="preserve">   Mieten</t>
  </si>
  <si>
    <t xml:space="preserve">   Steuern</t>
  </si>
  <si>
    <t>Summe Vertriebs- und Verwaltungskosten</t>
  </si>
  <si>
    <t>Finanzplan für das Jahr X</t>
  </si>
  <si>
    <t>Mindestbarmittelbestand</t>
  </si>
  <si>
    <t>zum Ende jeden Quartals</t>
  </si>
  <si>
    <t>Fremdkapitalzinssatz</t>
  </si>
  <si>
    <t>Barmittelbestand aus Vorperiode</t>
  </si>
  <si>
    <t>Barmittelbestand Jahresanfang</t>
  </si>
  <si>
    <t>Einzahlungen Kundenforderungen</t>
  </si>
  <si>
    <t>Verfügbarer Barmittelbestand</t>
  </si>
  <si>
    <t>Auszahlungen</t>
  </si>
  <si>
    <t xml:space="preserve">   Fertigungsmaterial</t>
  </si>
  <si>
    <t xml:space="preserve">   Arbeitskosten</t>
  </si>
  <si>
    <t xml:space="preserve">   Fertigungsgemeinkosten</t>
  </si>
  <si>
    <t xml:space="preserve">   Verwaltungs- und Vertriebskosten</t>
  </si>
  <si>
    <t xml:space="preserve">   Investitionen</t>
  </si>
  <si>
    <t>Überschuß (+) / Unterdeckung (-)</t>
  </si>
  <si>
    <t>Finanzierung</t>
  </si>
  <si>
    <t xml:space="preserve">   Kreditaufnahmen</t>
  </si>
  <si>
    <t xml:space="preserve">   Tilgungen</t>
  </si>
  <si>
    <t xml:space="preserve">   Zinsen</t>
  </si>
  <si>
    <t>Finanzergebnis</t>
  </si>
  <si>
    <t>Endbestand Barmittel</t>
  </si>
  <si>
    <t>Plan-G&amp;V für das Jahr X</t>
  </si>
  <si>
    <t>abzüglich var. Kosten</t>
  </si>
  <si>
    <t xml:space="preserve">   var. Herstellkosten</t>
  </si>
  <si>
    <t xml:space="preserve">   var. Vertriebs- und Verwaltungskosten</t>
  </si>
  <si>
    <t>abzüglich fixer Kosten</t>
  </si>
  <si>
    <t xml:space="preserve">   fixe Vertriebs- und Verwaltungskosten</t>
  </si>
  <si>
    <t>Gewinn vor Steuern</t>
  </si>
  <si>
    <t>Steuern</t>
  </si>
  <si>
    <t>Gewinn nach Steuern</t>
  </si>
  <si>
    <t>Planbilanz für das Jahr X - 1</t>
  </si>
  <si>
    <t>Aktiva</t>
  </si>
  <si>
    <t>Passiva</t>
  </si>
  <si>
    <t>Anlagevermögen</t>
  </si>
  <si>
    <t xml:space="preserve">   Grund</t>
  </si>
  <si>
    <t xml:space="preserve">   Wertberichtigung</t>
  </si>
  <si>
    <t>Umlaufvermögen</t>
  </si>
  <si>
    <t xml:space="preserve">   Barmittel</t>
  </si>
  <si>
    <t xml:space="preserve">   Forderungen</t>
  </si>
  <si>
    <t xml:space="preserve">   Material</t>
  </si>
  <si>
    <t xml:space="preserve">   Fertigfabrikate</t>
  </si>
  <si>
    <t>Summe Aktiva</t>
  </si>
  <si>
    <t>Eigenkapital</t>
  </si>
  <si>
    <t xml:space="preserve">   Stammkapital</t>
  </si>
  <si>
    <t xml:space="preserve">   Gewinn</t>
  </si>
  <si>
    <t>Fremdkapital</t>
  </si>
  <si>
    <t xml:space="preserve">   Steuerverbindl.</t>
  </si>
  <si>
    <t xml:space="preserve">   Verbindl. L&amp;L</t>
  </si>
  <si>
    <t>Summe Passiva</t>
  </si>
  <si>
    <t>Planbilanz für das Jahr X</t>
  </si>
  <si>
    <t xml:space="preserve">   abnutzbares AV</t>
  </si>
  <si>
    <t>Kennzahlenberechnungen</t>
  </si>
  <si>
    <t>Current Ratio (UV / kurzfr. Verb.)</t>
  </si>
  <si>
    <t>Jahr X - 1</t>
  </si>
  <si>
    <t>Jahr X</t>
  </si>
  <si>
    <t>Return on Total Assets</t>
  </si>
  <si>
    <t>(Net income after taxes / total assets)</t>
  </si>
  <si>
    <t>Gewinn nach Steuern im Jahr X - 1</t>
  </si>
  <si>
    <t>Verschuldungsgrad</t>
  </si>
</sst>
</file>

<file path=xl/styles.xml><?xml version="1.0" encoding="utf-8"?>
<styleSheet xmlns="http://schemas.openxmlformats.org/spreadsheetml/2006/main">
  <numFmts count="10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.0"/>
    <numFmt numFmtId="165" formatCode="0.0%"/>
  </numFmts>
  <fonts count="12">
    <font>
      <sz val="10"/>
      <name val="Arial"/>
      <family val="0"/>
    </font>
    <font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i/>
      <sz val="12"/>
      <name val="Arial"/>
      <family val="2"/>
    </font>
    <font>
      <b/>
      <sz val="8"/>
      <name val="Tahoma"/>
      <family val="0"/>
    </font>
    <font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2" fillId="0" borderId="0" xfId="17" applyFont="1" applyAlignment="1">
      <alignment/>
    </xf>
    <xf numFmtId="9" fontId="2" fillId="0" borderId="1" xfId="17" applyFont="1" applyBorder="1" applyAlignment="1">
      <alignment/>
    </xf>
    <xf numFmtId="9" fontId="3" fillId="0" borderId="0" xfId="17" applyFont="1" applyAlignment="1">
      <alignment/>
    </xf>
    <xf numFmtId="3" fontId="2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17" applyFont="1" applyBorder="1" applyAlignment="1">
      <alignment/>
    </xf>
    <xf numFmtId="3" fontId="8" fillId="0" borderId="0" xfId="0" applyNumberFormat="1" applyFont="1" applyAlignment="1">
      <alignment/>
    </xf>
    <xf numFmtId="9" fontId="8" fillId="0" borderId="0" xfId="17" applyFont="1" applyAlignment="1">
      <alignment/>
    </xf>
    <xf numFmtId="3" fontId="8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10" fontId="3" fillId="0" borderId="0" xfId="17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BEP-Diagramm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Umsatzerlöse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'DB II'!$G$8:$G$32</c:f>
              <c:numCache/>
            </c:numRef>
          </c:cat>
          <c:val>
            <c:numRef>
              <c:f>'DB II'!$H$8:$H$32</c:f>
              <c:numCache/>
            </c:numRef>
          </c:val>
          <c:smooth val="0"/>
        </c:ser>
        <c:ser>
          <c:idx val="1"/>
          <c:order val="1"/>
          <c:tx>
            <c:v>Gesamtkosten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'DB II'!$G$8:$G$32</c:f>
              <c:numCache/>
            </c:numRef>
          </c:cat>
          <c:val>
            <c:numRef>
              <c:f>'DB II'!$I$8:$I$32</c:f>
              <c:numCache/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Stückzahl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Umsatz/Gesamtkosten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133350</xdr:rowOff>
    </xdr:from>
    <xdr:to>
      <xdr:col>5</xdr:col>
      <xdr:colOff>714375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42875" y="4324350"/>
        <a:ext cx="5324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7">
      <selection activeCell="C25" sqref="C25"/>
    </sheetView>
  </sheetViews>
  <sheetFormatPr defaultColWidth="11.421875" defaultRowHeight="12.75"/>
  <cols>
    <col min="1" max="1" width="20.8515625" style="2" customWidth="1"/>
    <col min="2" max="16384" width="11.421875" style="2" customWidth="1"/>
  </cols>
  <sheetData>
    <row r="1" ht="20.25">
      <c r="A1" s="1" t="s">
        <v>0</v>
      </c>
    </row>
    <row r="3" spans="1:2" ht="15">
      <c r="A3" s="2" t="s">
        <v>1</v>
      </c>
      <c r="B3" s="2">
        <v>15000</v>
      </c>
    </row>
    <row r="4" spans="1:2" ht="15">
      <c r="A4" s="3" t="s">
        <v>2</v>
      </c>
      <c r="B4" s="3">
        <v>-7000</v>
      </c>
    </row>
    <row r="5" spans="1:2" ht="15">
      <c r="A5" s="2" t="s">
        <v>3</v>
      </c>
      <c r="B5" s="2">
        <f>SUM(B3:B4)</f>
        <v>8000</v>
      </c>
    </row>
    <row r="7" spans="1:2" ht="15">
      <c r="A7" s="2" t="s">
        <v>4</v>
      </c>
      <c r="B7" s="2">
        <v>-2100</v>
      </c>
    </row>
    <row r="8" spans="1:2" ht="15">
      <c r="A8" s="3" t="s">
        <v>5</v>
      </c>
      <c r="B8" s="3">
        <v>-1500</v>
      </c>
    </row>
    <row r="9" spans="1:2" ht="15.75">
      <c r="A9" s="4" t="s">
        <v>6</v>
      </c>
      <c r="B9" s="4">
        <f>SUM(B5:B8)</f>
        <v>4400</v>
      </c>
    </row>
    <row r="12" ht="20.25">
      <c r="A12" s="1" t="s">
        <v>7</v>
      </c>
    </row>
    <row r="14" spans="1:3" ht="15">
      <c r="A14" s="2" t="s">
        <v>1</v>
      </c>
      <c r="C14" s="2">
        <f>B3</f>
        <v>15000</v>
      </c>
    </row>
    <row r="15" ht="15">
      <c r="A15" s="2" t="s">
        <v>8</v>
      </c>
    </row>
    <row r="16" spans="1:2" ht="15">
      <c r="A16" s="2" t="s">
        <v>9</v>
      </c>
      <c r="B16" s="2">
        <v>4000</v>
      </c>
    </row>
    <row r="17" spans="1:2" ht="15">
      <c r="A17" s="2" t="s">
        <v>10</v>
      </c>
      <c r="B17" s="2">
        <v>1600</v>
      </c>
    </row>
    <row r="18" spans="1:3" ht="15">
      <c r="A18" s="3" t="s">
        <v>11</v>
      </c>
      <c r="B18" s="3">
        <v>500</v>
      </c>
      <c r="C18" s="3">
        <f>-SUM(B16:B18)</f>
        <v>-6100</v>
      </c>
    </row>
    <row r="19" spans="1:3" ht="15.75">
      <c r="A19" s="4" t="s">
        <v>12</v>
      </c>
      <c r="B19" s="4"/>
      <c r="C19" s="4">
        <f>SUM(C14:C18)</f>
        <v>8900</v>
      </c>
    </row>
    <row r="21" ht="15">
      <c r="A21" s="2" t="s">
        <v>13</v>
      </c>
    </row>
    <row r="22" spans="1:2" ht="15">
      <c r="A22" s="2" t="s">
        <v>9</v>
      </c>
      <c r="B22" s="2">
        <f>-B4-B16</f>
        <v>3000</v>
      </c>
    </row>
    <row r="23" spans="1:2" ht="15">
      <c r="A23" s="2" t="s">
        <v>10</v>
      </c>
      <c r="B23" s="2">
        <f>-B7-B17</f>
        <v>500</v>
      </c>
    </row>
    <row r="24" spans="1:3" ht="15">
      <c r="A24" s="3" t="s">
        <v>11</v>
      </c>
      <c r="B24" s="3">
        <f>-B8-B18</f>
        <v>1000</v>
      </c>
      <c r="C24" s="3">
        <f>-SUM(B22:B24)</f>
        <v>-4500</v>
      </c>
    </row>
    <row r="25" spans="1:3" ht="15.75">
      <c r="A25" s="4" t="s">
        <v>6</v>
      </c>
      <c r="C25" s="4">
        <f>SUM(C19:C24)</f>
        <v>4400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7109375" style="2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130</v>
      </c>
    </row>
    <row r="4" spans="2:4" ht="15.75">
      <c r="B4" s="6" t="s">
        <v>133</v>
      </c>
      <c r="C4" s="6" t="s">
        <v>134</v>
      </c>
      <c r="D4" s="4" t="s">
        <v>135</v>
      </c>
    </row>
    <row r="5" spans="1:4" ht="15">
      <c r="A5" s="2" t="s">
        <v>131</v>
      </c>
      <c r="B5" s="2">
        <f>Materialplan!F7</f>
        <v>250</v>
      </c>
      <c r="C5" s="2">
        <f>Materialplan!E11</f>
        <v>2</v>
      </c>
      <c r="D5" s="2">
        <f>C5*B5</f>
        <v>500</v>
      </c>
    </row>
    <row r="6" spans="1:4" ht="15">
      <c r="A6" s="2" t="s">
        <v>132</v>
      </c>
      <c r="B6" s="2">
        <f>Produktionsplan!F7</f>
        <v>100</v>
      </c>
      <c r="C6" s="2">
        <f>D12</f>
        <v>41</v>
      </c>
      <c r="D6" s="2">
        <f>C6*B6</f>
        <v>4100</v>
      </c>
    </row>
    <row r="8" spans="2:4" ht="15.75">
      <c r="B8" s="6" t="s">
        <v>139</v>
      </c>
      <c r="C8" s="6" t="s">
        <v>140</v>
      </c>
      <c r="D8" s="6" t="s">
        <v>26</v>
      </c>
    </row>
    <row r="9" spans="1:4" ht="15">
      <c r="A9" s="2" t="s">
        <v>137</v>
      </c>
      <c r="B9" s="2">
        <f>Materialplan!F11</f>
        <v>2</v>
      </c>
      <c r="C9" s="2">
        <f>Materialplan!F5</f>
        <v>3</v>
      </c>
      <c r="D9" s="2">
        <f>B9*C9</f>
        <v>6</v>
      </c>
    </row>
    <row r="10" spans="1:4" ht="15">
      <c r="A10" s="2" t="s">
        <v>136</v>
      </c>
      <c r="B10" s="2">
        <f>Arbeitsplan!F7</f>
        <v>5</v>
      </c>
      <c r="C10" s="2">
        <f>Arbeitsplan!F5</f>
        <v>5</v>
      </c>
      <c r="D10" s="2">
        <f>B10*C10</f>
        <v>25</v>
      </c>
    </row>
    <row r="11" spans="1:4" ht="15">
      <c r="A11" s="3" t="s">
        <v>138</v>
      </c>
      <c r="B11" s="3">
        <f>Gemeinkostenplan!F5</f>
        <v>2</v>
      </c>
      <c r="C11" s="3">
        <f>Arbeitsplan!F5</f>
        <v>5</v>
      </c>
      <c r="D11" s="3">
        <f>B11*C11</f>
        <v>10</v>
      </c>
    </row>
    <row r="12" spans="1:4" ht="16.5" thickBot="1">
      <c r="A12" s="13" t="s">
        <v>141</v>
      </c>
      <c r="B12" s="12"/>
      <c r="C12" s="12"/>
      <c r="D12" s="13">
        <f>SUM(D9:D11)</f>
        <v>41</v>
      </c>
    </row>
    <row r="13" ht="15.75" thickTop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8.140625" style="2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142</v>
      </c>
    </row>
    <row r="4" spans="2:6" ht="15.75">
      <c r="B4" s="6" t="s">
        <v>80</v>
      </c>
      <c r="C4" s="6" t="s">
        <v>81</v>
      </c>
      <c r="D4" s="6" t="s">
        <v>82</v>
      </c>
      <c r="E4" s="6" t="s">
        <v>83</v>
      </c>
      <c r="F4" s="6" t="s">
        <v>84</v>
      </c>
    </row>
    <row r="5" spans="1:6" ht="15">
      <c r="A5" s="2" t="s">
        <v>99</v>
      </c>
      <c r="B5" s="2">
        <f>Umsatzplan!B9</f>
        <v>800</v>
      </c>
      <c r="C5" s="2">
        <f>Umsatzplan!C9</f>
        <v>700</v>
      </c>
      <c r="D5" s="2">
        <f>Umsatzplan!D9</f>
        <v>900</v>
      </c>
      <c r="E5" s="2">
        <f>Umsatzplan!E9</f>
        <v>800</v>
      </c>
      <c r="F5" s="2">
        <f>SUM(B5:E5)</f>
        <v>3200</v>
      </c>
    </row>
    <row r="6" spans="1:6" ht="15">
      <c r="A6" s="3" t="s">
        <v>143</v>
      </c>
      <c r="B6" s="3">
        <v>4</v>
      </c>
      <c r="C6" s="3">
        <v>4</v>
      </c>
      <c r="D6" s="3">
        <v>4</v>
      </c>
      <c r="E6" s="3">
        <v>4</v>
      </c>
      <c r="F6" s="3">
        <f>SUM(B6:E6)/4</f>
        <v>4</v>
      </c>
    </row>
    <row r="7" spans="1:6" ht="15">
      <c r="A7" s="2" t="s">
        <v>144</v>
      </c>
      <c r="B7" s="2">
        <f>B5*B6</f>
        <v>3200</v>
      </c>
      <c r="C7" s="2">
        <f>C5*C6</f>
        <v>2800</v>
      </c>
      <c r="D7" s="2">
        <f>D5*D6</f>
        <v>3600</v>
      </c>
      <c r="E7" s="2">
        <f>E5*E6</f>
        <v>3200</v>
      </c>
      <c r="F7" s="2">
        <f>F5*F6</f>
        <v>12800</v>
      </c>
    </row>
    <row r="9" ht="15">
      <c r="A9" s="2" t="s">
        <v>145</v>
      </c>
    </row>
    <row r="10" spans="1:6" ht="15">
      <c r="A10" s="2" t="s">
        <v>146</v>
      </c>
      <c r="B10" s="2">
        <v>1100</v>
      </c>
      <c r="C10" s="2">
        <v>1100</v>
      </c>
      <c r="D10" s="2">
        <v>1100</v>
      </c>
      <c r="E10" s="2">
        <v>1100</v>
      </c>
      <c r="F10" s="2">
        <f>SUM(B10:E10)</f>
        <v>4400</v>
      </c>
    </row>
    <row r="11" spans="1:6" ht="15">
      <c r="A11" s="2" t="s">
        <v>147</v>
      </c>
      <c r="B11" s="2">
        <v>2800</v>
      </c>
      <c r="C11" s="2">
        <v>0</v>
      </c>
      <c r="D11" s="2">
        <v>0</v>
      </c>
      <c r="E11" s="2">
        <v>0</v>
      </c>
      <c r="F11" s="2">
        <f>SUM(B11:E11)</f>
        <v>2800</v>
      </c>
    </row>
    <row r="12" spans="1:6" ht="15">
      <c r="A12" s="2" t="s">
        <v>148</v>
      </c>
      <c r="B12" s="2">
        <v>8500</v>
      </c>
      <c r="C12" s="2">
        <v>8500</v>
      </c>
      <c r="D12" s="2">
        <v>8500</v>
      </c>
      <c r="E12" s="2">
        <v>8500</v>
      </c>
      <c r="F12" s="2">
        <f>SUM(B12:E12)</f>
        <v>34000</v>
      </c>
    </row>
    <row r="13" spans="1:6" ht="15">
      <c r="A13" s="2" t="s">
        <v>149</v>
      </c>
      <c r="B13" s="2">
        <v>350</v>
      </c>
      <c r="C13" s="2">
        <v>350</v>
      </c>
      <c r="D13" s="2">
        <v>350</v>
      </c>
      <c r="E13" s="2">
        <v>350</v>
      </c>
      <c r="F13" s="2">
        <f>SUM(B13:E13)</f>
        <v>1400</v>
      </c>
    </row>
    <row r="14" spans="1:6" ht="15">
      <c r="A14" s="3" t="s">
        <v>150</v>
      </c>
      <c r="B14" s="3">
        <v>0</v>
      </c>
      <c r="C14" s="3">
        <v>0</v>
      </c>
      <c r="D14" s="3">
        <v>1200</v>
      </c>
      <c r="E14" s="3">
        <v>0</v>
      </c>
      <c r="F14" s="3">
        <f>SUM(B14:E14)</f>
        <v>1200</v>
      </c>
    </row>
    <row r="15" spans="1:6" ht="16.5" thickBot="1">
      <c r="A15" s="13" t="s">
        <v>151</v>
      </c>
      <c r="B15" s="13">
        <f>SUM(B7:B14)</f>
        <v>15950</v>
      </c>
      <c r="C15" s="13">
        <f>SUM(C7:C14)</f>
        <v>12750</v>
      </c>
      <c r="D15" s="13">
        <f>SUM(D7:D14)</f>
        <v>14750</v>
      </c>
      <c r="E15" s="13">
        <f>SUM(E7:E14)</f>
        <v>13150</v>
      </c>
      <c r="F15" s="13">
        <f>SUM(F7:F14)</f>
        <v>56600</v>
      </c>
    </row>
    <row r="16" ht="15.75" thickTop="1"/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28125" style="2" bestFit="1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152</v>
      </c>
    </row>
    <row r="3" ht="15">
      <c r="A3" s="2" t="s">
        <v>153</v>
      </c>
    </row>
    <row r="4" spans="1:2" ht="15">
      <c r="A4" s="2" t="s">
        <v>154</v>
      </c>
      <c r="B4" s="17">
        <v>5000</v>
      </c>
    </row>
    <row r="5" spans="1:2" ht="15">
      <c r="A5" s="2" t="s">
        <v>155</v>
      </c>
      <c r="B5" s="18">
        <v>0.1</v>
      </c>
    </row>
    <row r="6" spans="1:2" ht="15">
      <c r="A6" s="2" t="s">
        <v>157</v>
      </c>
      <c r="B6" s="17">
        <v>10000</v>
      </c>
    </row>
    <row r="8" spans="2:6" ht="15.75">
      <c r="B8" s="6" t="s">
        <v>80</v>
      </c>
      <c r="C8" s="6" t="s">
        <v>81</v>
      </c>
      <c r="D8" s="6" t="s">
        <v>82</v>
      </c>
      <c r="E8" s="6" t="s">
        <v>83</v>
      </c>
      <c r="F8" s="6" t="s">
        <v>84</v>
      </c>
    </row>
    <row r="9" spans="1:6" ht="15">
      <c r="A9" s="2" t="s">
        <v>156</v>
      </c>
      <c r="B9" s="2">
        <f>Barmittelvortrag</f>
        <v>10000</v>
      </c>
      <c r="C9" s="2">
        <f>B29</f>
        <v>9401</v>
      </c>
      <c r="D9" s="2">
        <f>C29</f>
        <v>373.5</v>
      </c>
      <c r="E9" s="2">
        <f>D29</f>
        <v>9443.5</v>
      </c>
      <c r="F9" s="2">
        <f>B9</f>
        <v>10000</v>
      </c>
    </row>
    <row r="10" spans="1:6" ht="15">
      <c r="A10" s="3" t="s">
        <v>158</v>
      </c>
      <c r="B10" s="3">
        <f>Umsatzplan!B20</f>
        <v>54300</v>
      </c>
      <c r="C10" s="3">
        <f>Umsatzplan!C20</f>
        <v>57120</v>
      </c>
      <c r="D10" s="3">
        <f>Umsatzplan!D20</f>
        <v>66080</v>
      </c>
      <c r="E10" s="3">
        <f>Umsatzplan!E20</f>
        <v>64960</v>
      </c>
      <c r="F10" s="3">
        <f>SUM(B10:E10)</f>
        <v>242460</v>
      </c>
    </row>
    <row r="11" spans="1:6" ht="15.75">
      <c r="A11" s="4" t="s">
        <v>159</v>
      </c>
      <c r="B11" s="4">
        <f>SUM(B9:B10)</f>
        <v>64300</v>
      </c>
      <c r="C11" s="4">
        <f>SUM(C9:C10)</f>
        <v>66521</v>
      </c>
      <c r="D11" s="4">
        <f>SUM(D9:D10)</f>
        <v>66453.5</v>
      </c>
      <c r="E11" s="4">
        <f>SUM(E9:E10)</f>
        <v>74403.5</v>
      </c>
      <c r="F11" s="4">
        <f>SUM(F9:F10)</f>
        <v>252460</v>
      </c>
    </row>
    <row r="13" ht="15">
      <c r="A13" s="2" t="s">
        <v>160</v>
      </c>
    </row>
    <row r="14" spans="1:6" ht="15">
      <c r="A14" s="2" t="s">
        <v>161</v>
      </c>
      <c r="B14" s="2">
        <f>Materialplan!B24</f>
        <v>4549</v>
      </c>
      <c r="C14" s="2">
        <f>Materialplan!C24</f>
        <v>4560</v>
      </c>
      <c r="D14" s="2">
        <f>Materialplan!D24</f>
        <v>4860</v>
      </c>
      <c r="E14" s="2">
        <f>Materialplan!E24</f>
        <v>5113</v>
      </c>
      <c r="F14" s="2">
        <f aca="true" t="shared" si="0" ref="F14:F19">SUM(B14:E14)</f>
        <v>19082</v>
      </c>
    </row>
    <row r="15" spans="1:6" ht="15">
      <c r="A15" s="2" t="s">
        <v>162</v>
      </c>
      <c r="B15" s="2">
        <f>Arbeitsplan!B8</f>
        <v>19750</v>
      </c>
      <c r="C15" s="2">
        <f>Arbeitsplan!C8</f>
        <v>18000</v>
      </c>
      <c r="D15" s="2">
        <f>Arbeitsplan!D8</f>
        <v>22250</v>
      </c>
      <c r="E15" s="2">
        <f>Arbeitsplan!E8</f>
        <v>20500</v>
      </c>
      <c r="F15" s="2">
        <f t="shared" si="0"/>
        <v>80500</v>
      </c>
    </row>
    <row r="16" spans="1:6" ht="15">
      <c r="A16" s="2" t="s">
        <v>163</v>
      </c>
      <c r="B16" s="2">
        <f>Gemeinkostenplan!B10</f>
        <v>10650</v>
      </c>
      <c r="C16" s="2">
        <f>Gemeinkostenplan!C10</f>
        <v>9950</v>
      </c>
      <c r="D16" s="2">
        <f>Gemeinkostenplan!D10</f>
        <v>11650</v>
      </c>
      <c r="E16" s="2">
        <f>Gemeinkostenplan!E10</f>
        <v>10950</v>
      </c>
      <c r="F16" s="2">
        <f t="shared" si="0"/>
        <v>43200</v>
      </c>
    </row>
    <row r="17" spans="1:6" ht="15">
      <c r="A17" s="2" t="s">
        <v>164</v>
      </c>
      <c r="B17" s="2">
        <f>Vertriebsbudget!B15</f>
        <v>15950</v>
      </c>
      <c r="C17" s="2">
        <f>Vertriebsbudget!C15</f>
        <v>12750</v>
      </c>
      <c r="D17" s="2">
        <f>Vertriebsbudget!D15</f>
        <v>14750</v>
      </c>
      <c r="E17" s="2">
        <f>Vertriebsbudget!E15</f>
        <v>13150</v>
      </c>
      <c r="F17" s="2">
        <f t="shared" si="0"/>
        <v>56600</v>
      </c>
    </row>
    <row r="18" spans="1:6" ht="15">
      <c r="A18" s="2" t="s">
        <v>165</v>
      </c>
      <c r="B18" s="17">
        <v>0</v>
      </c>
      <c r="C18" s="17">
        <v>24300</v>
      </c>
      <c r="D18" s="17">
        <v>0</v>
      </c>
      <c r="E18" s="17">
        <v>0</v>
      </c>
      <c r="F18" s="2">
        <f t="shared" si="0"/>
        <v>24300</v>
      </c>
    </row>
    <row r="19" spans="1:6" ht="15">
      <c r="A19" s="3" t="s">
        <v>150</v>
      </c>
      <c r="B19" s="19">
        <v>4000</v>
      </c>
      <c r="C19" s="19">
        <v>0</v>
      </c>
      <c r="D19" s="19">
        <v>0</v>
      </c>
      <c r="E19" s="19">
        <v>0</v>
      </c>
      <c r="F19" s="3">
        <f t="shared" si="0"/>
        <v>4000</v>
      </c>
    </row>
    <row r="20" spans="1:6" ht="16.5" thickBot="1">
      <c r="A20" s="13" t="s">
        <v>117</v>
      </c>
      <c r="B20" s="13">
        <f>SUM(B14:B19)</f>
        <v>54899</v>
      </c>
      <c r="C20" s="13">
        <f>SUM(C14:C19)</f>
        <v>69560</v>
      </c>
      <c r="D20" s="13">
        <f>SUM(D14:D19)</f>
        <v>53510</v>
      </c>
      <c r="E20" s="13">
        <f>SUM(E14:E19)</f>
        <v>49713</v>
      </c>
      <c r="F20" s="13">
        <f>SUM(F14:F19)</f>
        <v>227682</v>
      </c>
    </row>
    <row r="21" ht="15.75" thickTop="1"/>
    <row r="22" spans="1:6" ht="15.75">
      <c r="A22" s="4" t="s">
        <v>166</v>
      </c>
      <c r="B22" s="4">
        <f>B11-B20</f>
        <v>9401</v>
      </c>
      <c r="C22" s="4">
        <f>C11-C20</f>
        <v>-3039</v>
      </c>
      <c r="D22" s="4">
        <f>D11-D20</f>
        <v>12943.5</v>
      </c>
      <c r="E22" s="4">
        <f>E11-E20</f>
        <v>24690.5</v>
      </c>
      <c r="F22" s="4">
        <f>F11-F20</f>
        <v>24778</v>
      </c>
    </row>
    <row r="24" ht="15">
      <c r="A24" s="2" t="s">
        <v>167</v>
      </c>
    </row>
    <row r="25" spans="1:6" ht="15">
      <c r="A25" s="2" t="s">
        <v>168</v>
      </c>
      <c r="B25" s="17">
        <v>0</v>
      </c>
      <c r="C25" s="17">
        <v>3500</v>
      </c>
      <c r="D25" s="17">
        <v>0</v>
      </c>
      <c r="E25" s="17">
        <v>0</v>
      </c>
      <c r="F25" s="2">
        <f>SUM(B25:E25)</f>
        <v>3500</v>
      </c>
    </row>
    <row r="26" spans="1:6" ht="15">
      <c r="A26" s="2" t="s">
        <v>169</v>
      </c>
      <c r="B26" s="17">
        <v>0</v>
      </c>
      <c r="C26" s="17">
        <v>0</v>
      </c>
      <c r="D26" s="17">
        <v>3500</v>
      </c>
      <c r="E26" s="17">
        <v>0</v>
      </c>
      <c r="F26" s="2">
        <f>SUM(B26:E26)</f>
        <v>3500</v>
      </c>
    </row>
    <row r="27" spans="1:6" ht="15">
      <c r="A27" s="3" t="s">
        <v>170</v>
      </c>
      <c r="B27" s="3">
        <f>B25*FKZinssatz/4</f>
        <v>0</v>
      </c>
      <c r="C27" s="3">
        <f>C25*FKZinssatz/4</f>
        <v>87.5</v>
      </c>
      <c r="D27" s="3">
        <f>D25*FKZinssatz/4</f>
        <v>0</v>
      </c>
      <c r="E27" s="3">
        <f>E25*FKZinssatz/4</f>
        <v>0</v>
      </c>
      <c r="F27" s="3">
        <f>SUM(B27:E27)</f>
        <v>87.5</v>
      </c>
    </row>
    <row r="28" spans="1:6" ht="15">
      <c r="A28" s="2" t="s">
        <v>171</v>
      </c>
      <c r="B28" s="2">
        <f>B25-B26-B27</f>
        <v>0</v>
      </c>
      <c r="C28" s="2">
        <f>C25-C26-C27</f>
        <v>3412.5</v>
      </c>
      <c r="D28" s="2">
        <f>D25-D26-D27</f>
        <v>-3500</v>
      </c>
      <c r="E28" s="2">
        <f>E25-E26-E27</f>
        <v>0</v>
      </c>
      <c r="F28" s="2">
        <f>SUM(B28:E28)</f>
        <v>-87.5</v>
      </c>
    </row>
    <row r="29" spans="1:6" ht="16.5" thickBot="1">
      <c r="A29" s="20" t="s">
        <v>172</v>
      </c>
      <c r="B29" s="20">
        <f>B28+B22</f>
        <v>9401</v>
      </c>
      <c r="C29" s="20">
        <f>C28+C22</f>
        <v>373.5</v>
      </c>
      <c r="D29" s="20">
        <f>D28+D22</f>
        <v>9443.5</v>
      </c>
      <c r="E29" s="20">
        <f>E28+E22</f>
        <v>24690.5</v>
      </c>
      <c r="F29" s="20">
        <f>F28+F22</f>
        <v>24690.5</v>
      </c>
    </row>
    <row r="30" ht="15.75" thickTop="1"/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6.28125" style="2" bestFit="1" customWidth="1"/>
    <col min="2" max="2" width="13.8515625" style="2" bestFit="1" customWidth="1"/>
    <col min="3" max="3" width="11.421875" style="2" customWidth="1"/>
    <col min="4" max="4" width="17.0039062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173</v>
      </c>
    </row>
    <row r="4" spans="1:4" ht="15">
      <c r="A4" s="2" t="s">
        <v>1</v>
      </c>
      <c r="D4" s="2">
        <f>Umsatzplan!UmsatzGesamt</f>
        <v>256000</v>
      </c>
    </row>
    <row r="5" ht="15">
      <c r="A5" s="2" t="s">
        <v>174</v>
      </c>
    </row>
    <row r="6" spans="1:3" ht="15">
      <c r="A6" s="2" t="s">
        <v>175</v>
      </c>
      <c r="C6" s="2">
        <f>Lagerbestandsplan!D12*Umsatzplan!F9</f>
        <v>131200</v>
      </c>
    </row>
    <row r="7" spans="1:4" ht="15">
      <c r="A7" s="3" t="s">
        <v>176</v>
      </c>
      <c r="B7" s="3"/>
      <c r="C7" s="3">
        <f>Vertriebsbudget!F7</f>
        <v>12800</v>
      </c>
      <c r="D7" s="3">
        <f>-SUM(C6:C7)</f>
        <v>-144000</v>
      </c>
    </row>
    <row r="8" spans="1:4" ht="15.75">
      <c r="A8" s="4" t="s">
        <v>12</v>
      </c>
      <c r="D8" s="4">
        <f>D4+D7</f>
        <v>112000</v>
      </c>
    </row>
    <row r="10" ht="15">
      <c r="A10" s="2" t="s">
        <v>177</v>
      </c>
    </row>
    <row r="11" spans="1:3" ht="15">
      <c r="A11" s="2" t="s">
        <v>163</v>
      </c>
      <c r="C11" s="2">
        <f>Gemeinkostenplan!F7</f>
        <v>24000</v>
      </c>
    </row>
    <row r="12" spans="1:4" ht="15">
      <c r="A12" s="3" t="s">
        <v>178</v>
      </c>
      <c r="B12" s="3"/>
      <c r="C12" s="3">
        <f>SUM(Vertriebsbudget!F10:F14)</f>
        <v>43800</v>
      </c>
      <c r="D12" s="3">
        <f>-SUM(C11:C12)</f>
        <v>-67800</v>
      </c>
    </row>
    <row r="13" spans="1:4" ht="15.75">
      <c r="A13" s="4" t="s">
        <v>6</v>
      </c>
      <c r="D13" s="4">
        <f>D8+D12</f>
        <v>44200</v>
      </c>
    </row>
    <row r="15" spans="1:4" ht="15">
      <c r="A15" s="3" t="s">
        <v>171</v>
      </c>
      <c r="B15" s="3"/>
      <c r="C15" s="3"/>
      <c r="D15" s="3">
        <f>Finanzplan!F28</f>
        <v>-87.5</v>
      </c>
    </row>
    <row r="16" spans="1:4" ht="15.75">
      <c r="A16" s="4" t="s">
        <v>179</v>
      </c>
      <c r="B16" s="4"/>
      <c r="C16" s="4"/>
      <c r="D16" s="4">
        <f>D13+D15</f>
        <v>44112.5</v>
      </c>
    </row>
    <row r="18" spans="1:4" ht="15">
      <c r="A18" s="3" t="s">
        <v>180</v>
      </c>
      <c r="B18" s="8">
        <v>0.34</v>
      </c>
      <c r="C18" s="3"/>
      <c r="D18" s="3">
        <f>-B18*D16</f>
        <v>-14998.250000000002</v>
      </c>
    </row>
    <row r="19" spans="1:4" ht="16.5" thickBot="1">
      <c r="A19" s="13" t="s">
        <v>181</v>
      </c>
      <c r="B19" s="12"/>
      <c r="C19" s="12"/>
      <c r="D19" s="13">
        <f>D16+D18</f>
        <v>29114.25</v>
      </c>
    </row>
    <row r="20" ht="15.75" thickTop="1"/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57421875" style="2" customWidth="1"/>
    <col min="2" max="2" width="15.00390625" style="2" customWidth="1"/>
    <col min="3" max="3" width="11.421875" style="2" customWidth="1"/>
    <col min="4" max="4" width="18.7109375" style="2" bestFit="1" customWidth="1"/>
    <col min="5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182</v>
      </c>
    </row>
    <row r="4" spans="1:6" ht="20.25">
      <c r="A4" s="21" t="s">
        <v>183</v>
      </c>
      <c r="B4" s="3"/>
      <c r="C4" s="3"/>
      <c r="D4" s="21" t="s">
        <v>184</v>
      </c>
      <c r="E4" s="3"/>
      <c r="F4" s="3"/>
    </row>
    <row r="5" spans="1:6" ht="15.75">
      <c r="A5" s="4" t="s">
        <v>185</v>
      </c>
      <c r="C5" s="24">
        <f>SUM(B6:B8)</f>
        <v>90000</v>
      </c>
      <c r="D5" s="4" t="s">
        <v>194</v>
      </c>
      <c r="F5" s="4">
        <f>SUM(E6:E7)</f>
        <v>107054</v>
      </c>
    </row>
    <row r="6" spans="1:5" ht="15">
      <c r="A6" s="2" t="s">
        <v>186</v>
      </c>
      <c r="B6" s="15">
        <v>50000</v>
      </c>
      <c r="C6" s="22"/>
      <c r="D6" s="2" t="s">
        <v>195</v>
      </c>
      <c r="E6" s="2">
        <v>70000</v>
      </c>
    </row>
    <row r="7" spans="1:6" ht="15">
      <c r="A7" s="2" t="s">
        <v>202</v>
      </c>
      <c r="B7" s="15">
        <v>100000</v>
      </c>
      <c r="C7" s="22"/>
      <c r="D7" s="26" t="s">
        <v>196</v>
      </c>
      <c r="E7" s="3">
        <f>C14-E6-F8</f>
        <v>37054</v>
      </c>
      <c r="F7" s="3"/>
    </row>
    <row r="8" spans="1:6" ht="15.75">
      <c r="A8" s="3" t="s">
        <v>187</v>
      </c>
      <c r="B8" s="3">
        <v>-60000</v>
      </c>
      <c r="C8" s="23"/>
      <c r="D8" s="4" t="s">
        <v>197</v>
      </c>
      <c r="F8" s="4">
        <f>SUM(E9:E10)</f>
        <v>6200</v>
      </c>
    </row>
    <row r="9" spans="1:5" ht="15.75">
      <c r="A9" s="4" t="s">
        <v>188</v>
      </c>
      <c r="C9" s="25">
        <f>SUM(B10:B13)</f>
        <v>23254</v>
      </c>
      <c r="D9" s="2" t="s">
        <v>199</v>
      </c>
      <c r="E9" s="2">
        <v>2200</v>
      </c>
    </row>
    <row r="10" spans="1:6" ht="15">
      <c r="A10" s="2" t="s">
        <v>189</v>
      </c>
      <c r="B10" s="2">
        <v>10000</v>
      </c>
      <c r="C10" s="22"/>
      <c r="D10" s="26" t="s">
        <v>198</v>
      </c>
      <c r="E10" s="3">
        <v>4000</v>
      </c>
      <c r="F10" s="3"/>
    </row>
    <row r="11" spans="1:3" ht="15">
      <c r="A11" s="2" t="s">
        <v>190</v>
      </c>
      <c r="B11" s="2">
        <v>9500</v>
      </c>
      <c r="C11" s="22"/>
    </row>
    <row r="12" spans="1:3" ht="15">
      <c r="A12" s="2" t="s">
        <v>191</v>
      </c>
      <c r="B12" s="2">
        <v>474</v>
      </c>
      <c r="C12" s="22"/>
    </row>
    <row r="13" spans="1:3" ht="15">
      <c r="A13" s="3" t="s">
        <v>192</v>
      </c>
      <c r="B13" s="3">
        <v>3280</v>
      </c>
      <c r="C13" s="23"/>
    </row>
    <row r="14" spans="1:6" ht="15.75">
      <c r="A14" s="4" t="s">
        <v>193</v>
      </c>
      <c r="C14" s="4">
        <f>SUM(C5:C13)</f>
        <v>113254</v>
      </c>
      <c r="D14" s="4" t="s">
        <v>200</v>
      </c>
      <c r="F14" s="4">
        <f>SUM(F5:F13)</f>
        <v>113254</v>
      </c>
    </row>
    <row r="15" spans="1:6" ht="15.75">
      <c r="A15" s="4"/>
      <c r="C15" s="4"/>
      <c r="D15" s="4"/>
      <c r="F15" s="4"/>
    </row>
    <row r="16" spans="1:3" ht="15">
      <c r="A16" s="2" t="s">
        <v>209</v>
      </c>
      <c r="C16" s="2">
        <v>15000</v>
      </c>
    </row>
    <row r="18" ht="20.25">
      <c r="A18" s="1" t="s">
        <v>201</v>
      </c>
    </row>
    <row r="21" spans="1:6" ht="20.25">
      <c r="A21" s="21" t="s">
        <v>183</v>
      </c>
      <c r="B21" s="3"/>
      <c r="C21" s="3"/>
      <c r="D21" s="21" t="s">
        <v>184</v>
      </c>
      <c r="E21" s="3"/>
      <c r="F21" s="3"/>
    </row>
    <row r="22" spans="1:6" ht="15.75">
      <c r="A22" s="4" t="s">
        <v>185</v>
      </c>
      <c r="C22" s="24">
        <f>SUM(B23:B25)</f>
        <v>101300</v>
      </c>
      <c r="D22" s="4" t="s">
        <v>194</v>
      </c>
      <c r="F22" s="4">
        <f>SUM(E23:E24)</f>
        <v>136168.25</v>
      </c>
    </row>
    <row r="23" spans="1:5" ht="15">
      <c r="A23" s="2" t="s">
        <v>186</v>
      </c>
      <c r="B23" s="15">
        <v>50000</v>
      </c>
      <c r="C23" s="22"/>
      <c r="D23" s="2" t="s">
        <v>195</v>
      </c>
      <c r="E23" s="2">
        <v>70000</v>
      </c>
    </row>
    <row r="24" spans="1:6" ht="15">
      <c r="A24" s="2" t="s">
        <v>202</v>
      </c>
      <c r="B24" s="15">
        <f>B7+Finanzplan!C18</f>
        <v>124300</v>
      </c>
      <c r="C24" s="22"/>
      <c r="D24" s="26" t="s">
        <v>196</v>
      </c>
      <c r="E24" s="3">
        <f>E7+'PlanG&amp;V'!D19</f>
        <v>66168.25</v>
      </c>
      <c r="F24" s="3"/>
    </row>
    <row r="25" spans="1:6" ht="15.75">
      <c r="A25" s="3" t="s">
        <v>187</v>
      </c>
      <c r="B25" s="3">
        <f>B8-Gemeinkostenplan!F9</f>
        <v>-73000</v>
      </c>
      <c r="C25" s="23"/>
      <c r="D25" s="4" t="s">
        <v>197</v>
      </c>
      <c r="F25" s="4">
        <f>SUM(E26:E27)</f>
        <v>17462.25</v>
      </c>
    </row>
    <row r="26" spans="1:5" ht="15.75">
      <c r="A26" s="4" t="s">
        <v>188</v>
      </c>
      <c r="C26" s="25">
        <f>SUM(B27:B30)</f>
        <v>52330.5</v>
      </c>
      <c r="D26" s="2" t="s">
        <v>199</v>
      </c>
      <c r="E26" s="2">
        <f>E9+Materialplan!EinkaufGesamt-Materialplan!F24</f>
        <v>2464</v>
      </c>
    </row>
    <row r="27" spans="1:6" ht="15">
      <c r="A27" s="2" t="s">
        <v>189</v>
      </c>
      <c r="B27" s="2">
        <f>Finanzplan!F29</f>
        <v>24690.5</v>
      </c>
      <c r="C27" s="22"/>
      <c r="D27" s="26" t="s">
        <v>198</v>
      </c>
      <c r="E27" s="3">
        <f>-'PlanG&amp;V'!D18</f>
        <v>14998.250000000002</v>
      </c>
      <c r="F27" s="3"/>
    </row>
    <row r="28" spans="1:3" ht="15">
      <c r="A28" s="2" t="s">
        <v>190</v>
      </c>
      <c r="B28" s="2">
        <f>B11+Umsatzplan!UmsatzGesamt-Finanzplan!F10</f>
        <v>23040</v>
      </c>
      <c r="C28" s="22"/>
    </row>
    <row r="29" spans="1:3" ht="15">
      <c r="A29" s="2" t="s">
        <v>191</v>
      </c>
      <c r="B29" s="2">
        <f>Lagerbestandsplan!D5</f>
        <v>500</v>
      </c>
      <c r="C29" s="22"/>
    </row>
    <row r="30" spans="1:3" ht="15">
      <c r="A30" s="3" t="s">
        <v>192</v>
      </c>
      <c r="B30" s="3">
        <f>Lagerbestandsplan!D6</f>
        <v>4100</v>
      </c>
      <c r="C30" s="23"/>
    </row>
    <row r="31" spans="1:6" ht="15.75">
      <c r="A31" s="4" t="s">
        <v>193</v>
      </c>
      <c r="C31" s="4">
        <f>SUM(C22:C30)</f>
        <v>153630.5</v>
      </c>
      <c r="D31" s="4" t="s">
        <v>200</v>
      </c>
      <c r="F31" s="4">
        <f>SUM(F22:F30)</f>
        <v>153630.5</v>
      </c>
    </row>
    <row r="33" ht="20.25">
      <c r="A33" s="27" t="str">
        <f>"Die Berechnungen sind "&amp;IF(ABS(C31-F31)&lt;0.1,"ok!","NICHT KONSISTENT!!")</f>
        <v>Die Berechnungen sind ok!</v>
      </c>
    </row>
    <row r="36" ht="20.25">
      <c r="A36" s="1" t="s">
        <v>203</v>
      </c>
    </row>
    <row r="37" spans="4:5" ht="15.75">
      <c r="D37" s="6" t="s">
        <v>205</v>
      </c>
      <c r="E37" s="6" t="s">
        <v>206</v>
      </c>
    </row>
    <row r="38" spans="1:5" ht="15.75">
      <c r="A38" s="2" t="s">
        <v>204</v>
      </c>
      <c r="D38" s="28">
        <f>C9/F8</f>
        <v>3.7506451612903224</v>
      </c>
      <c r="E38" s="28">
        <f>C26/F25</f>
        <v>2.9967787656229867</v>
      </c>
    </row>
    <row r="39" ht="15">
      <c r="A39" s="2" t="s">
        <v>207</v>
      </c>
    </row>
    <row r="40" spans="1:5" ht="15.75">
      <c r="A40" s="2" t="s">
        <v>208</v>
      </c>
      <c r="D40" s="29">
        <f>C16/C14</f>
        <v>0.13244565313366416</v>
      </c>
      <c r="E40" s="29">
        <f>'PlanG&amp;V'!D19/Planbilanz!C31</f>
        <v>0.18950826821497033</v>
      </c>
    </row>
    <row r="41" spans="1:5" ht="15.75">
      <c r="A41" s="2" t="s">
        <v>210</v>
      </c>
      <c r="D41" s="29">
        <f>F8/F14</f>
        <v>0.05474420329524785</v>
      </c>
      <c r="E41" s="29">
        <f>F25/F31</f>
        <v>0.11366395344674397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tabSelected="1" workbookViewId="0" topLeftCell="A1">
      <selection activeCell="J17" sqref="J17"/>
    </sheetView>
  </sheetViews>
  <sheetFormatPr defaultColWidth="11.421875" defaultRowHeight="12.75"/>
  <cols>
    <col min="1" max="1" width="25.140625" style="2" customWidth="1"/>
    <col min="2" max="2" width="11.8515625" style="2" customWidth="1"/>
    <col min="3" max="6" width="11.421875" style="2" customWidth="1"/>
    <col min="7" max="7" width="15.7109375" style="2" customWidth="1"/>
    <col min="8" max="8" width="15.00390625" style="2" bestFit="1" customWidth="1"/>
    <col min="9" max="9" width="15.7109375" style="2" bestFit="1" customWidth="1"/>
    <col min="10" max="16384" width="11.421875" style="2" customWidth="1"/>
  </cols>
  <sheetData>
    <row r="1" ht="20.25">
      <c r="A1" s="1" t="s">
        <v>14</v>
      </c>
    </row>
    <row r="3" spans="3:8" ht="15.75">
      <c r="C3" s="6" t="s">
        <v>17</v>
      </c>
      <c r="D3" s="6" t="s">
        <v>18</v>
      </c>
      <c r="E3" s="6" t="s">
        <v>19</v>
      </c>
      <c r="G3" s="2" t="s">
        <v>25</v>
      </c>
      <c r="H3" s="2">
        <v>25</v>
      </c>
    </row>
    <row r="4" spans="1:8" ht="15">
      <c r="A4" s="2" t="s">
        <v>16</v>
      </c>
      <c r="B4" s="2">
        <v>1500</v>
      </c>
      <c r="G4" s="2" t="s">
        <v>24</v>
      </c>
      <c r="H4" s="2">
        <v>10</v>
      </c>
    </row>
    <row r="5" spans="1:8" ht="15">
      <c r="A5" s="2" t="s">
        <v>1</v>
      </c>
      <c r="C5" s="2">
        <v>37500</v>
      </c>
      <c r="D5" s="2">
        <f>C5/B4</f>
        <v>25</v>
      </c>
      <c r="E5" s="7">
        <v>1</v>
      </c>
      <c r="G5" s="2" t="s">
        <v>13</v>
      </c>
      <c r="H5" s="2">
        <v>15000</v>
      </c>
    </row>
    <row r="6" spans="1:5" ht="15">
      <c r="A6" s="3" t="s">
        <v>8</v>
      </c>
      <c r="B6" s="3"/>
      <c r="C6" s="3">
        <v>15000</v>
      </c>
      <c r="D6" s="3">
        <f>C6/B4</f>
        <v>10</v>
      </c>
      <c r="E6" s="8">
        <f>C6/C5</f>
        <v>0.4</v>
      </c>
    </row>
    <row r="7" spans="1:9" ht="15.75">
      <c r="A7" s="4" t="s">
        <v>12</v>
      </c>
      <c r="C7" s="4">
        <f>C5-C6</f>
        <v>22500</v>
      </c>
      <c r="D7" s="4">
        <f>D5-D6</f>
        <v>15</v>
      </c>
      <c r="E7" s="9">
        <f>E5-E6</f>
        <v>0.6</v>
      </c>
      <c r="G7" s="2" t="s">
        <v>15</v>
      </c>
      <c r="H7" s="2" t="s">
        <v>1</v>
      </c>
      <c r="I7" s="2" t="s">
        <v>26</v>
      </c>
    </row>
    <row r="8" spans="1:10" ht="15.75">
      <c r="A8" s="3" t="s">
        <v>13</v>
      </c>
      <c r="B8" s="3"/>
      <c r="C8" s="3">
        <v>15000</v>
      </c>
      <c r="G8" s="2">
        <v>100</v>
      </c>
      <c r="H8" s="2">
        <f>G8*p</f>
        <v>2500</v>
      </c>
      <c r="I8" s="2">
        <f>G8*v+FK</f>
        <v>16000</v>
      </c>
      <c r="J8" s="4">
        <f>IF(H8=I8,"&lt;==BEP!!","")</f>
      </c>
    </row>
    <row r="9" spans="1:10" ht="15.75">
      <c r="A9" s="4" t="s">
        <v>20</v>
      </c>
      <c r="C9" s="4">
        <f>C7-C8</f>
        <v>7500</v>
      </c>
      <c r="G9" s="2">
        <v>200</v>
      </c>
      <c r="H9" s="2">
        <f aca="true" t="shared" si="0" ref="H9:H32">G9*p</f>
        <v>5000</v>
      </c>
      <c r="I9" s="2">
        <f aca="true" t="shared" si="1" ref="I9:I32">G9*v+FK</f>
        <v>17000</v>
      </c>
      <c r="J9" s="4">
        <f aca="true" t="shared" si="2" ref="J9:J32">IF(H9=I9,"&lt;==BEP!!","")</f>
      </c>
    </row>
    <row r="10" spans="7:10" ht="15.75">
      <c r="G10" s="2">
        <v>300</v>
      </c>
      <c r="H10" s="2">
        <f t="shared" si="0"/>
        <v>7500</v>
      </c>
      <c r="I10" s="2">
        <f t="shared" si="1"/>
        <v>18000</v>
      </c>
      <c r="J10" s="4">
        <f t="shared" si="2"/>
      </c>
    </row>
    <row r="11" spans="1:10" ht="15.75">
      <c r="A11" s="2" t="s">
        <v>21</v>
      </c>
      <c r="C11" s="2">
        <f>F/DBStk</f>
        <v>1000</v>
      </c>
      <c r="G11" s="2">
        <v>400</v>
      </c>
      <c r="H11" s="2">
        <f t="shared" si="0"/>
        <v>10000</v>
      </c>
      <c r="I11" s="2">
        <f t="shared" si="1"/>
        <v>19000</v>
      </c>
      <c r="J11" s="4">
        <f t="shared" si="2"/>
      </c>
    </row>
    <row r="12" spans="1:10" ht="15.75">
      <c r="A12" s="2" t="s">
        <v>22</v>
      </c>
      <c r="C12" s="2">
        <f>F/DBproz</f>
        <v>25000</v>
      </c>
      <c r="D12" s="2">
        <f>Stückpreis*BEP_Absatz</f>
        <v>25000</v>
      </c>
      <c r="G12" s="2">
        <v>500</v>
      </c>
      <c r="H12" s="2">
        <f t="shared" si="0"/>
        <v>12500</v>
      </c>
      <c r="I12" s="2">
        <f t="shared" si="1"/>
        <v>20000</v>
      </c>
      <c r="J12" s="4">
        <f t="shared" si="2"/>
      </c>
    </row>
    <row r="13" spans="1:10" ht="15.75">
      <c r="A13" s="2" t="s">
        <v>32</v>
      </c>
      <c r="C13" s="7">
        <f>(A-BEP_Absatz)/A</f>
        <v>0.3333333333333333</v>
      </c>
      <c r="G13" s="2">
        <v>600</v>
      </c>
      <c r="H13" s="2">
        <f t="shared" si="0"/>
        <v>15000</v>
      </c>
      <c r="I13" s="2">
        <f t="shared" si="1"/>
        <v>21000</v>
      </c>
      <c r="J13" s="4">
        <f t="shared" si="2"/>
      </c>
    </row>
    <row r="14" spans="7:10" ht="15.75">
      <c r="G14" s="2">
        <v>700</v>
      </c>
      <c r="H14" s="2">
        <f t="shared" si="0"/>
        <v>17500</v>
      </c>
      <c r="I14" s="2">
        <f t="shared" si="1"/>
        <v>22000</v>
      </c>
      <c r="J14" s="4">
        <f t="shared" si="2"/>
      </c>
    </row>
    <row r="15" spans="1:10" ht="15.75">
      <c r="A15" s="2" t="s">
        <v>28</v>
      </c>
      <c r="C15" s="2">
        <v>15000</v>
      </c>
      <c r="G15" s="2">
        <v>800</v>
      </c>
      <c r="H15" s="2">
        <f t="shared" si="0"/>
        <v>20000</v>
      </c>
      <c r="I15" s="2">
        <f t="shared" si="1"/>
        <v>23000</v>
      </c>
      <c r="J15" s="4">
        <f t="shared" si="2"/>
      </c>
    </row>
    <row r="16" spans="1:10" ht="15.75">
      <c r="A16" s="2" t="s">
        <v>27</v>
      </c>
      <c r="G16" s="2">
        <v>900</v>
      </c>
      <c r="H16" s="2">
        <f t="shared" si="0"/>
        <v>22500</v>
      </c>
      <c r="I16" s="2">
        <f t="shared" si="1"/>
        <v>24000</v>
      </c>
      <c r="J16" s="4">
        <f t="shared" si="2"/>
      </c>
    </row>
    <row r="17" spans="1:10" ht="15.75">
      <c r="A17" s="2" t="s">
        <v>23</v>
      </c>
      <c r="C17" s="2">
        <f>(F+Target_Income)/DBStk</f>
        <v>2000</v>
      </c>
      <c r="G17" s="2">
        <v>1000</v>
      </c>
      <c r="H17" s="2">
        <f t="shared" si="0"/>
        <v>25000</v>
      </c>
      <c r="I17" s="2">
        <f t="shared" si="1"/>
        <v>25000</v>
      </c>
      <c r="J17" s="4" t="str">
        <f t="shared" si="2"/>
        <v>&lt;==BEP!!</v>
      </c>
    </row>
    <row r="18" spans="7:10" ht="15.75">
      <c r="G18" s="2">
        <v>1100</v>
      </c>
      <c r="H18" s="2">
        <f t="shared" si="0"/>
        <v>27500</v>
      </c>
      <c r="I18" s="2">
        <f t="shared" si="1"/>
        <v>26000</v>
      </c>
      <c r="J18" s="4">
        <f t="shared" si="2"/>
      </c>
    </row>
    <row r="19" spans="1:10" ht="15.75">
      <c r="A19" s="2" t="s">
        <v>29</v>
      </c>
      <c r="C19" s="2">
        <v>15000</v>
      </c>
      <c r="G19" s="2">
        <v>1200</v>
      </c>
      <c r="H19" s="2">
        <f t="shared" si="0"/>
        <v>30000</v>
      </c>
      <c r="I19" s="2">
        <f t="shared" si="1"/>
        <v>27000</v>
      </c>
      <c r="J19" s="4">
        <f t="shared" si="2"/>
      </c>
    </row>
    <row r="20" spans="1:10" ht="15.75">
      <c r="A20" s="2" t="s">
        <v>30</v>
      </c>
      <c r="C20" s="7">
        <v>0.5</v>
      </c>
      <c r="G20" s="2">
        <v>1300</v>
      </c>
      <c r="H20" s="2">
        <f t="shared" si="0"/>
        <v>32500</v>
      </c>
      <c r="I20" s="2">
        <f t="shared" si="1"/>
        <v>28000</v>
      </c>
      <c r="J20" s="4">
        <f t="shared" si="2"/>
      </c>
    </row>
    <row r="21" spans="1:10" ht="15.75">
      <c r="A21" s="2" t="s">
        <v>31</v>
      </c>
      <c r="C21" s="2">
        <f>(F+Target_Income/(1-Steuersatz))/DBStk</f>
        <v>3000</v>
      </c>
      <c r="D21" s="2">
        <f>(C21*(p-v)-FK)*(1-Steuersatz)</f>
        <v>15000</v>
      </c>
      <c r="G21" s="2">
        <v>1400</v>
      </c>
      <c r="H21" s="2">
        <f t="shared" si="0"/>
        <v>35000</v>
      </c>
      <c r="I21" s="2">
        <f t="shared" si="1"/>
        <v>29000</v>
      </c>
      <c r="J21" s="4">
        <f t="shared" si="2"/>
      </c>
    </row>
    <row r="22" spans="7:10" ht="15.75">
      <c r="G22" s="2">
        <v>1500</v>
      </c>
      <c r="H22" s="2">
        <f t="shared" si="0"/>
        <v>37500</v>
      </c>
      <c r="I22" s="2">
        <f t="shared" si="1"/>
        <v>30000</v>
      </c>
      <c r="J22" s="4">
        <f t="shared" si="2"/>
      </c>
    </row>
    <row r="23" spans="7:10" ht="15.75">
      <c r="G23" s="2">
        <v>1600</v>
      </c>
      <c r="H23" s="2">
        <f t="shared" si="0"/>
        <v>40000</v>
      </c>
      <c r="I23" s="2">
        <f t="shared" si="1"/>
        <v>31000</v>
      </c>
      <c r="J23" s="4">
        <f t="shared" si="2"/>
      </c>
    </row>
    <row r="24" spans="7:10" ht="15.75">
      <c r="G24" s="2">
        <v>1700</v>
      </c>
      <c r="H24" s="2">
        <f t="shared" si="0"/>
        <v>42500</v>
      </c>
      <c r="I24" s="2">
        <f t="shared" si="1"/>
        <v>32000</v>
      </c>
      <c r="J24" s="4">
        <f t="shared" si="2"/>
      </c>
    </row>
    <row r="25" spans="7:10" ht="15.75">
      <c r="G25" s="2">
        <v>1800</v>
      </c>
      <c r="H25" s="2">
        <f t="shared" si="0"/>
        <v>45000</v>
      </c>
      <c r="I25" s="2">
        <f t="shared" si="1"/>
        <v>33000</v>
      </c>
      <c r="J25" s="4">
        <f t="shared" si="2"/>
      </c>
    </row>
    <row r="26" spans="7:10" ht="15.75">
      <c r="G26" s="2">
        <v>1900</v>
      </c>
      <c r="H26" s="2">
        <f t="shared" si="0"/>
        <v>47500</v>
      </c>
      <c r="I26" s="2">
        <f t="shared" si="1"/>
        <v>34000</v>
      </c>
      <c r="J26" s="4">
        <f t="shared" si="2"/>
      </c>
    </row>
    <row r="27" spans="7:10" ht="15.75">
      <c r="G27" s="2">
        <v>2000</v>
      </c>
      <c r="H27" s="2">
        <f t="shared" si="0"/>
        <v>50000</v>
      </c>
      <c r="I27" s="2">
        <f t="shared" si="1"/>
        <v>35000</v>
      </c>
      <c r="J27" s="4">
        <f t="shared" si="2"/>
      </c>
    </row>
    <row r="28" spans="7:10" ht="15.75">
      <c r="G28" s="2">
        <v>2100</v>
      </c>
      <c r="H28" s="2">
        <f t="shared" si="0"/>
        <v>52500</v>
      </c>
      <c r="I28" s="2">
        <f t="shared" si="1"/>
        <v>36000</v>
      </c>
      <c r="J28" s="4">
        <f t="shared" si="2"/>
      </c>
    </row>
    <row r="29" spans="7:10" ht="15.75">
      <c r="G29" s="2">
        <v>2200</v>
      </c>
      <c r="H29" s="2">
        <f t="shared" si="0"/>
        <v>55000</v>
      </c>
      <c r="I29" s="2">
        <f t="shared" si="1"/>
        <v>37000</v>
      </c>
      <c r="J29" s="4">
        <f t="shared" si="2"/>
      </c>
    </row>
    <row r="30" spans="7:10" ht="15.75">
      <c r="G30" s="2">
        <v>2300</v>
      </c>
      <c r="H30" s="2">
        <f t="shared" si="0"/>
        <v>57500</v>
      </c>
      <c r="I30" s="2">
        <f t="shared" si="1"/>
        <v>38000</v>
      </c>
      <c r="J30" s="4">
        <f t="shared" si="2"/>
      </c>
    </row>
    <row r="31" spans="7:10" ht="15.75">
      <c r="G31" s="2">
        <v>2400</v>
      </c>
      <c r="H31" s="2">
        <f t="shared" si="0"/>
        <v>60000</v>
      </c>
      <c r="I31" s="2">
        <f t="shared" si="1"/>
        <v>39000</v>
      </c>
      <c r="J31" s="4">
        <f t="shared" si="2"/>
      </c>
    </row>
    <row r="32" spans="7:10" ht="15.75">
      <c r="G32" s="2">
        <v>2500</v>
      </c>
      <c r="H32" s="2">
        <f t="shared" si="0"/>
        <v>62500</v>
      </c>
      <c r="I32" s="2">
        <f t="shared" si="1"/>
        <v>40000</v>
      </c>
      <c r="J32" s="4">
        <f t="shared" si="2"/>
      </c>
    </row>
    <row r="33" ht="15.75">
      <c r="J33" s="4">
        <f>IF(H29=I29,"&lt;==BEP!!","")</f>
      </c>
    </row>
    <row r="34" ht="15.75">
      <c r="J34" s="4">
        <f>IF(H30=I30,"&lt;==BEP!!","")</f>
      </c>
    </row>
    <row r="35" ht="15.75">
      <c r="J35" s="4">
        <f>IF(H31=I31,"&lt;==BEP!!","")</f>
      </c>
    </row>
    <row r="36" ht="15.75">
      <c r="J36" s="4">
        <f>IF(H32=I32,"&lt;==BEP!!","")</f>
      </c>
    </row>
    <row r="45" spans="1:5" ht="15">
      <c r="A45" s="3"/>
      <c r="B45" s="3"/>
      <c r="C45" s="3"/>
      <c r="D45" s="3"/>
      <c r="E45" s="3"/>
    </row>
    <row r="46" ht="15">
      <c r="A46" s="2" t="s">
        <v>33</v>
      </c>
    </row>
    <row r="47" spans="1:4" ht="15">
      <c r="A47" s="2" t="s">
        <v>34</v>
      </c>
      <c r="C47" s="2">
        <v>10000</v>
      </c>
      <c r="D47" s="2" t="s">
        <v>35</v>
      </c>
    </row>
    <row r="48" ht="15">
      <c r="A48" s="2" t="s">
        <v>36</v>
      </c>
    </row>
    <row r="50" spans="1:3" ht="15">
      <c r="A50" s="2" t="s">
        <v>37</v>
      </c>
      <c r="C50" s="2">
        <f>C47*DBproz</f>
        <v>6000</v>
      </c>
    </row>
    <row r="51" spans="1:5" ht="15">
      <c r="A51" s="3"/>
      <c r="B51" s="3"/>
      <c r="C51" s="3"/>
      <c r="D51" s="3"/>
      <c r="E51" s="3"/>
    </row>
    <row r="52" ht="15">
      <c r="A52" s="2" t="s">
        <v>33</v>
      </c>
    </row>
    <row r="53" spans="1:4" ht="15">
      <c r="A53" s="2" t="s">
        <v>38</v>
      </c>
      <c r="C53" s="2">
        <v>400</v>
      </c>
      <c r="D53" s="2" t="s">
        <v>39</v>
      </c>
    </row>
    <row r="54" ht="15">
      <c r="A54" s="2" t="s">
        <v>36</v>
      </c>
    </row>
    <row r="56" spans="1:3" ht="15">
      <c r="A56" s="2" t="s">
        <v>37</v>
      </c>
      <c r="C56" s="2">
        <f>C53*DBStk</f>
        <v>6000</v>
      </c>
    </row>
    <row r="57" spans="1:5" ht="15">
      <c r="A57" s="3"/>
      <c r="B57" s="3"/>
      <c r="C57" s="3"/>
      <c r="D57" s="3"/>
      <c r="E57" s="3"/>
    </row>
    <row r="58" spans="1:4" ht="15">
      <c r="A58" s="2" t="s">
        <v>40</v>
      </c>
      <c r="D58" s="2">
        <v>47500</v>
      </c>
    </row>
    <row r="59" ht="15">
      <c r="A59" s="2" t="s">
        <v>41</v>
      </c>
    </row>
    <row r="61" spans="1:3" ht="15">
      <c r="A61" s="2" t="s">
        <v>42</v>
      </c>
      <c r="C61" s="2">
        <f>D58*DBproz</f>
        <v>28500</v>
      </c>
    </row>
    <row r="62" spans="1:3" ht="15">
      <c r="A62" s="3" t="s">
        <v>43</v>
      </c>
      <c r="B62" s="3"/>
      <c r="C62" s="3">
        <f>-F</f>
        <v>-15000</v>
      </c>
    </row>
    <row r="63" spans="1:3" ht="15">
      <c r="A63" s="2" t="s">
        <v>45</v>
      </c>
      <c r="C63" s="2">
        <f>SUM(C61:C62)</f>
        <v>13500</v>
      </c>
    </row>
    <row r="64" spans="1:5" ht="15">
      <c r="A64" s="3"/>
      <c r="B64" s="3"/>
      <c r="C64" s="3"/>
      <c r="D64" s="3"/>
      <c r="E64" s="3"/>
    </row>
    <row r="65" spans="1:5" ht="15">
      <c r="A65" s="2" t="s">
        <v>46</v>
      </c>
      <c r="E65" s="2">
        <v>5000</v>
      </c>
    </row>
    <row r="66" spans="1:4" ht="15">
      <c r="A66" s="2" t="s">
        <v>47</v>
      </c>
      <c r="C66" s="2">
        <v>8000</v>
      </c>
      <c r="D66" s="2" t="s">
        <v>48</v>
      </c>
    </row>
    <row r="67" ht="15">
      <c r="A67" s="2" t="s">
        <v>49</v>
      </c>
    </row>
    <row r="69" spans="1:3" ht="15">
      <c r="A69" s="2" t="s">
        <v>50</v>
      </c>
      <c r="C69" s="2">
        <f>C66*DBproz</f>
        <v>4800</v>
      </c>
    </row>
    <row r="70" spans="1:3" ht="15">
      <c r="A70" s="3" t="s">
        <v>51</v>
      </c>
      <c r="B70" s="3"/>
      <c r="C70" s="3">
        <f>-E65</f>
        <v>-5000</v>
      </c>
    </row>
    <row r="71" spans="1:3" ht="15">
      <c r="A71" s="2" t="s">
        <v>52</v>
      </c>
      <c r="C71" s="2">
        <f>SUM(C69:C70)</f>
        <v>-200</v>
      </c>
    </row>
    <row r="72" spans="1:5" ht="15">
      <c r="A72" s="3"/>
      <c r="B72" s="3"/>
      <c r="C72" s="3"/>
      <c r="D72" s="3"/>
      <c r="E72" s="3"/>
    </row>
    <row r="73" spans="1:3" ht="15">
      <c r="A73" s="2" t="s">
        <v>53</v>
      </c>
      <c r="B73" s="2">
        <v>5</v>
      </c>
      <c r="C73" s="2" t="s">
        <v>54</v>
      </c>
    </row>
    <row r="74" spans="1:3" ht="15">
      <c r="A74" s="2" t="s">
        <v>55</v>
      </c>
      <c r="B74" s="2">
        <v>1000</v>
      </c>
      <c r="C74" s="2" t="s">
        <v>56</v>
      </c>
    </row>
    <row r="75" spans="1:3" ht="15">
      <c r="A75" s="2" t="s">
        <v>57</v>
      </c>
      <c r="B75" s="7">
        <v>0.6</v>
      </c>
      <c r="C75" s="2" t="s">
        <v>48</v>
      </c>
    </row>
    <row r="76" ht="15">
      <c r="A76" s="2" t="s">
        <v>58</v>
      </c>
    </row>
    <row r="78" spans="2:4" ht="15">
      <c r="B78" s="5" t="s">
        <v>59</v>
      </c>
      <c r="C78" s="5" t="s">
        <v>60</v>
      </c>
      <c r="D78" s="5" t="s">
        <v>61</v>
      </c>
    </row>
    <row r="79" spans="1:4" ht="15">
      <c r="A79" s="2" t="s">
        <v>62</v>
      </c>
      <c r="B79" s="2">
        <f>U</f>
        <v>37500</v>
      </c>
      <c r="C79" s="2">
        <f>A*(1+B75)*(Stückpreis-B73)</f>
        <v>48000</v>
      </c>
      <c r="D79" s="2">
        <f>C79-B79</f>
        <v>10500</v>
      </c>
    </row>
    <row r="80" spans="1:4" ht="15">
      <c r="A80" s="3" t="s">
        <v>8</v>
      </c>
      <c r="B80" s="3">
        <f>vc</f>
        <v>15000</v>
      </c>
      <c r="C80" s="3">
        <f>A*(1+B75)*D6</f>
        <v>24000</v>
      </c>
      <c r="D80" s="3">
        <f>C80-B80</f>
        <v>9000</v>
      </c>
    </row>
    <row r="81" spans="1:4" ht="15">
      <c r="A81" s="2" t="s">
        <v>12</v>
      </c>
      <c r="B81" s="2">
        <f>B79-B80</f>
        <v>22500</v>
      </c>
      <c r="C81" s="2">
        <f>C79-C80</f>
        <v>24000</v>
      </c>
      <c r="D81" s="2">
        <f>C81-B81</f>
        <v>1500</v>
      </c>
    </row>
    <row r="82" spans="1:4" ht="15">
      <c r="A82" s="3" t="s">
        <v>13</v>
      </c>
      <c r="B82" s="3">
        <f>F</f>
        <v>15000</v>
      </c>
      <c r="C82" s="3">
        <f>F+B74</f>
        <v>16000</v>
      </c>
      <c r="D82" s="3">
        <f>C82-B82</f>
        <v>1000</v>
      </c>
    </row>
    <row r="83" spans="1:4" ht="15">
      <c r="A83" s="2" t="s">
        <v>44</v>
      </c>
      <c r="B83" s="2">
        <f>B81-B82</f>
        <v>7500</v>
      </c>
      <c r="C83" s="2">
        <f>C81-C82</f>
        <v>8000</v>
      </c>
      <c r="D83" s="2">
        <f>C83-B83</f>
        <v>500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9" sqref="D9"/>
    </sheetView>
  </sheetViews>
  <sheetFormatPr defaultColWidth="11.421875" defaultRowHeight="12.75"/>
  <cols>
    <col min="1" max="1" width="29.421875" style="2" customWidth="1"/>
    <col min="2" max="16384" width="11.421875" style="2" customWidth="1"/>
  </cols>
  <sheetData>
    <row r="1" ht="20.25">
      <c r="A1" s="1" t="s">
        <v>63</v>
      </c>
    </row>
    <row r="4" ht="15">
      <c r="A4" s="2" t="s">
        <v>64</v>
      </c>
    </row>
    <row r="6" spans="2:5" ht="15">
      <c r="B6" s="5" t="s">
        <v>65</v>
      </c>
      <c r="C6" s="5" t="s">
        <v>66</v>
      </c>
      <c r="D6" s="5" t="s">
        <v>67</v>
      </c>
      <c r="E6" s="5" t="s">
        <v>71</v>
      </c>
    </row>
    <row r="7" spans="1:5" ht="15">
      <c r="A7" s="2" t="s">
        <v>1</v>
      </c>
      <c r="B7" s="2">
        <v>30000</v>
      </c>
      <c r="C7" s="2">
        <v>60000</v>
      </c>
      <c r="D7" s="2">
        <v>10000</v>
      </c>
      <c r="E7" s="2">
        <f>SUM(B7:D7)</f>
        <v>100000</v>
      </c>
    </row>
    <row r="8" spans="1:5" ht="15">
      <c r="A8" s="2" t="s">
        <v>68</v>
      </c>
      <c r="B8" s="7">
        <f>Umsatz_A/Umsatz_Gesamt</f>
        <v>0.3</v>
      </c>
      <c r="C8" s="7">
        <f>Umsatz_B/Umsatz_Gesamt</f>
        <v>0.6</v>
      </c>
      <c r="D8" s="7">
        <f>Umsatz_C/Umsatz_Gesamt</f>
        <v>0.1</v>
      </c>
      <c r="E8" s="7">
        <f>SUM(B8:D8)</f>
        <v>0.9999999999999999</v>
      </c>
    </row>
    <row r="9" spans="1:5" ht="15">
      <c r="A9" s="3" t="s">
        <v>8</v>
      </c>
      <c r="B9" s="3">
        <f>Umsatz_A*(1-DBproz_A)</f>
        <v>24000</v>
      </c>
      <c r="C9" s="3">
        <f>Umsatz_B*(1-DPproz_B)</f>
        <v>40000.00000000001</v>
      </c>
      <c r="D9" s="3">
        <f>Umsatz_C*(1-DBproz_C)</f>
        <v>5000</v>
      </c>
      <c r="E9" s="3">
        <f>SUM(B9:D9)</f>
        <v>69000</v>
      </c>
    </row>
    <row r="10" spans="1:5" ht="15">
      <c r="A10" s="2" t="s">
        <v>69</v>
      </c>
      <c r="B10" s="2">
        <f>B7-B9</f>
        <v>6000</v>
      </c>
      <c r="C10" s="2">
        <f>C7-C9</f>
        <v>19999.999999999993</v>
      </c>
      <c r="D10" s="2">
        <f>D7-D9</f>
        <v>5000</v>
      </c>
      <c r="E10" s="2">
        <f>E7-E9</f>
        <v>31000</v>
      </c>
    </row>
    <row r="11" spans="1:5" ht="15">
      <c r="A11" s="2" t="s">
        <v>70</v>
      </c>
      <c r="B11" s="7">
        <f>B10/B7</f>
        <v>0.2</v>
      </c>
      <c r="C11" s="7">
        <f>C10/C7</f>
        <v>0.3333333333333332</v>
      </c>
      <c r="D11" s="7">
        <f>D10/D7</f>
        <v>0.5</v>
      </c>
      <c r="E11" s="7">
        <f>E10/E7</f>
        <v>0.31</v>
      </c>
    </row>
    <row r="12" spans="1:5" ht="15">
      <c r="A12" s="2" t="s">
        <v>13</v>
      </c>
      <c r="E12" s="3">
        <v>18600</v>
      </c>
    </row>
    <row r="13" spans="1:5" ht="15.75" thickBot="1">
      <c r="A13" s="2" t="s">
        <v>44</v>
      </c>
      <c r="E13" s="10">
        <f>E10-E12</f>
        <v>12400</v>
      </c>
    </row>
    <row r="14" ht="15.75" thickTop="1"/>
    <row r="15" spans="1:2" ht="15">
      <c r="A15" s="2" t="s">
        <v>72</v>
      </c>
      <c r="B15" s="2">
        <f>FK/DBprozGesamt</f>
        <v>60000</v>
      </c>
    </row>
    <row r="17" spans="1:2" ht="15">
      <c r="A17" s="2" t="s">
        <v>73</v>
      </c>
      <c r="B17" s="2">
        <f>BEP_Umsatz*Anteil_A</f>
        <v>18000</v>
      </c>
    </row>
    <row r="18" spans="1:2" ht="15">
      <c r="A18" s="2" t="s">
        <v>74</v>
      </c>
      <c r="B18" s="2">
        <f>BEP_Umsatz*Anteil_B</f>
        <v>36000</v>
      </c>
    </row>
    <row r="19" spans="1:2" ht="15">
      <c r="A19" s="3" t="s">
        <v>75</v>
      </c>
      <c r="B19" s="3">
        <f>BEP_Umsatz*Anteil_C</f>
        <v>6000</v>
      </c>
    </row>
    <row r="20" spans="1:2" ht="15">
      <c r="A20" s="2" t="s">
        <v>71</v>
      </c>
      <c r="B20" s="2">
        <f>SUM(B17:B19)</f>
        <v>60000</v>
      </c>
    </row>
    <row r="22" ht="15">
      <c r="A22" s="11" t="s">
        <v>76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421875" style="2" customWidth="1"/>
    <col min="2" max="16384" width="11.421875" style="2" customWidth="1"/>
  </cols>
  <sheetData>
    <row r="1" ht="20.25">
      <c r="A1" s="1" t="s">
        <v>63</v>
      </c>
    </row>
    <row r="4" ht="15">
      <c r="A4" s="2" t="s">
        <v>64</v>
      </c>
    </row>
    <row r="6" spans="2:5" ht="15">
      <c r="B6" s="5" t="s">
        <v>65</v>
      </c>
      <c r="C6" s="5" t="s">
        <v>66</v>
      </c>
      <c r="D6" s="5" t="s">
        <v>67</v>
      </c>
      <c r="E6" s="5" t="s">
        <v>71</v>
      </c>
    </row>
    <row r="7" spans="1:5" ht="15">
      <c r="A7" s="2" t="s">
        <v>1</v>
      </c>
      <c r="B7" s="2">
        <v>55000</v>
      </c>
      <c r="C7" s="2">
        <v>40000</v>
      </c>
      <c r="D7" s="2">
        <v>5000</v>
      </c>
      <c r="E7" s="2">
        <f>SUM(B7:D7)</f>
        <v>100000</v>
      </c>
    </row>
    <row r="8" spans="1:5" ht="15">
      <c r="A8" s="2" t="s">
        <v>68</v>
      </c>
      <c r="B8" s="7">
        <f>Umsatz_A/Umsatz_Gesamt</f>
        <v>0.55</v>
      </c>
      <c r="C8" s="7">
        <f>Umsatz_B/Umsatz_Gesamt</f>
        <v>0.4</v>
      </c>
      <c r="D8" s="7">
        <f>Umsatz_C/Umsatz_Gesamt</f>
        <v>0.05</v>
      </c>
      <c r="E8" s="7">
        <f>SUM(B8:D8)</f>
        <v>1</v>
      </c>
    </row>
    <row r="9" spans="1:5" ht="15">
      <c r="A9" s="3" t="s">
        <v>8</v>
      </c>
      <c r="B9" s="3">
        <f>Umsatz_A*(1-DBproz_A)</f>
        <v>44000</v>
      </c>
      <c r="C9" s="3">
        <f>Umsatz_B*(1-DPproz_B)</f>
        <v>26666.666666666668</v>
      </c>
      <c r="D9" s="3">
        <f>Umsatz_C*(1-DBproz_C)</f>
        <v>2500</v>
      </c>
      <c r="E9" s="3">
        <f>SUM(B9:D9)</f>
        <v>73166.66666666667</v>
      </c>
    </row>
    <row r="10" spans="1:5" ht="15">
      <c r="A10" s="2" t="s">
        <v>69</v>
      </c>
      <c r="B10" s="2">
        <f>B7-B9</f>
        <v>11000</v>
      </c>
      <c r="C10" s="2">
        <f>C7-C9</f>
        <v>13333.333333333332</v>
      </c>
      <c r="D10" s="2">
        <f>D7-D9</f>
        <v>2500</v>
      </c>
      <c r="E10" s="2">
        <f>E7-E9</f>
        <v>26833.33333333333</v>
      </c>
    </row>
    <row r="11" spans="1:5" ht="15">
      <c r="A11" s="2" t="s">
        <v>70</v>
      </c>
      <c r="B11" s="7">
        <f>B10/B7</f>
        <v>0.2</v>
      </c>
      <c r="C11" s="7">
        <f>C10/C7</f>
        <v>0.3333333333333333</v>
      </c>
      <c r="D11" s="7">
        <f>D10/D7</f>
        <v>0.5</v>
      </c>
      <c r="E11" s="7">
        <f>E10/E7</f>
        <v>0.26833333333333326</v>
      </c>
    </row>
    <row r="12" spans="1:5" ht="15">
      <c r="A12" s="2" t="s">
        <v>13</v>
      </c>
      <c r="E12" s="3">
        <v>18600</v>
      </c>
    </row>
    <row r="13" spans="1:5" ht="15.75" thickBot="1">
      <c r="A13" s="2" t="s">
        <v>44</v>
      </c>
      <c r="E13" s="10">
        <f>E10-E12</f>
        <v>8233.333333333328</v>
      </c>
    </row>
    <row r="14" ht="15.75" thickTop="1"/>
    <row r="15" spans="1:2" ht="15">
      <c r="A15" s="2" t="s">
        <v>72</v>
      </c>
      <c r="B15" s="2">
        <f>FK/DBprozGesamt</f>
        <v>69316.77018633543</v>
      </c>
    </row>
    <row r="17" spans="1:2" ht="15">
      <c r="A17" s="2" t="s">
        <v>73</v>
      </c>
      <c r="B17" s="2">
        <f>BEP_Umsatz*Anteil_A</f>
        <v>38124.22360248449</v>
      </c>
    </row>
    <row r="18" spans="1:2" ht="15">
      <c r="A18" s="2" t="s">
        <v>74</v>
      </c>
      <c r="B18" s="2">
        <f>BEP_Umsatz*Anteil_B</f>
        <v>27726.708074534174</v>
      </c>
    </row>
    <row r="19" spans="1:2" ht="15">
      <c r="A19" s="3" t="s">
        <v>75</v>
      </c>
      <c r="B19" s="3">
        <f>BEP_Umsatz*Anteil_C</f>
        <v>3465.8385093167717</v>
      </c>
    </row>
    <row r="20" spans="1:2" ht="15">
      <c r="A20" s="2" t="s">
        <v>71</v>
      </c>
      <c r="B20" s="2">
        <f>SUM(B17:B19)</f>
        <v>69316.77018633545</v>
      </c>
    </row>
    <row r="22" ht="15">
      <c r="A22" s="11" t="s">
        <v>77</v>
      </c>
    </row>
    <row r="23" ht="15">
      <c r="A23" s="11" t="s">
        <v>78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42187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79</v>
      </c>
    </row>
    <row r="4" spans="1:2" ht="15">
      <c r="A4" s="2" t="s">
        <v>90</v>
      </c>
      <c r="B4" s="7">
        <v>0.7</v>
      </c>
    </row>
    <row r="5" spans="1:2" ht="15">
      <c r="A5" s="2" t="s">
        <v>91</v>
      </c>
      <c r="B5" s="7">
        <v>0.28</v>
      </c>
    </row>
    <row r="6" spans="1:2" ht="15">
      <c r="A6" s="2" t="s">
        <v>92</v>
      </c>
      <c r="B6" s="7">
        <f>1-B4-B5</f>
        <v>0.020000000000000018</v>
      </c>
    </row>
    <row r="8" spans="2:6" ht="15.75">
      <c r="B8" s="6" t="s">
        <v>80</v>
      </c>
      <c r="C8" s="6" t="s">
        <v>81</v>
      </c>
      <c r="D8" s="6" t="s">
        <v>82</v>
      </c>
      <c r="E8" s="6" t="s">
        <v>83</v>
      </c>
      <c r="F8" s="6" t="s">
        <v>84</v>
      </c>
    </row>
    <row r="9" spans="1:6" ht="15">
      <c r="A9" s="2" t="s">
        <v>85</v>
      </c>
      <c r="B9" s="2">
        <v>800</v>
      </c>
      <c r="C9" s="2">
        <v>700</v>
      </c>
      <c r="D9" s="2">
        <v>900</v>
      </c>
      <c r="E9" s="2">
        <v>800</v>
      </c>
      <c r="F9" s="2">
        <f>SUM(B9:E9)</f>
        <v>3200</v>
      </c>
    </row>
    <row r="10" spans="1:6" ht="15">
      <c r="A10" s="3" t="s">
        <v>86</v>
      </c>
      <c r="B10" s="3">
        <v>80</v>
      </c>
      <c r="C10" s="3">
        <v>80</v>
      </c>
      <c r="D10" s="3">
        <v>80</v>
      </c>
      <c r="E10" s="3">
        <v>80</v>
      </c>
      <c r="F10" s="3">
        <v>80</v>
      </c>
    </row>
    <row r="11" spans="1:6" ht="16.5" thickBot="1">
      <c r="A11" s="13" t="s">
        <v>87</v>
      </c>
      <c r="B11" s="12">
        <f>B9*B10</f>
        <v>64000</v>
      </c>
      <c r="C11" s="12">
        <f>C9*C10</f>
        <v>56000</v>
      </c>
      <c r="D11" s="12">
        <f>D9*D10</f>
        <v>72000</v>
      </c>
      <c r="E11" s="12">
        <f>E9*E10</f>
        <v>64000</v>
      </c>
      <c r="F11" s="12">
        <f>F9*F10</f>
        <v>256000</v>
      </c>
    </row>
    <row r="12" ht="15.75" thickTop="1"/>
    <row r="13" spans="2:6" ht="15.75">
      <c r="B13" s="30" t="s">
        <v>88</v>
      </c>
      <c r="C13" s="30"/>
      <c r="D13" s="30"/>
      <c r="E13" s="30"/>
      <c r="F13" s="30"/>
    </row>
    <row r="14" spans="2:6" ht="15.75">
      <c r="B14" s="6" t="s">
        <v>80</v>
      </c>
      <c r="C14" s="6" t="s">
        <v>81</v>
      </c>
      <c r="D14" s="6" t="s">
        <v>82</v>
      </c>
      <c r="E14" s="6" t="s">
        <v>83</v>
      </c>
      <c r="F14" s="6" t="s">
        <v>84</v>
      </c>
    </row>
    <row r="15" spans="1:6" ht="15">
      <c r="A15" s="2" t="s">
        <v>89</v>
      </c>
      <c r="B15" s="2">
        <v>9500</v>
      </c>
      <c r="F15" s="2">
        <f>SUM(B15:E15)</f>
        <v>9500</v>
      </c>
    </row>
    <row r="16" spans="1:6" ht="15">
      <c r="A16" s="2" t="s">
        <v>93</v>
      </c>
      <c r="B16" s="2">
        <f>UmsatzQ1*Eingang_sofort</f>
        <v>44800</v>
      </c>
      <c r="C16" s="2">
        <f>UmsatzQ1*Eingang_später</f>
        <v>17920</v>
      </c>
      <c r="F16" s="2">
        <f>SUM(B16:E16)</f>
        <v>62720</v>
      </c>
    </row>
    <row r="17" spans="1:6" ht="15">
      <c r="A17" s="2" t="s">
        <v>94</v>
      </c>
      <c r="C17" s="2">
        <f>UmsatzQ2*Eingang_sofort</f>
        <v>39200</v>
      </c>
      <c r="D17" s="2">
        <f>UmsatzQ2*Eingang_später</f>
        <v>15680.000000000002</v>
      </c>
      <c r="F17" s="2">
        <f>SUM(B17:E17)</f>
        <v>54880</v>
      </c>
    </row>
    <row r="18" spans="1:6" ht="15">
      <c r="A18" s="2" t="s">
        <v>95</v>
      </c>
      <c r="D18" s="2">
        <f>UmsatzQ3*Eingang_sofort</f>
        <v>50400</v>
      </c>
      <c r="E18" s="2">
        <f>UmsatzQ3*Eingang_später</f>
        <v>20160.000000000004</v>
      </c>
      <c r="F18" s="2">
        <f>SUM(B18:E18)</f>
        <v>70560</v>
      </c>
    </row>
    <row r="19" spans="1:6" ht="15">
      <c r="A19" s="3" t="s">
        <v>96</v>
      </c>
      <c r="B19" s="3"/>
      <c r="C19" s="3"/>
      <c r="D19" s="3"/>
      <c r="E19" s="3">
        <f>UmsatzQ4*Eingang_sofort</f>
        <v>44800</v>
      </c>
      <c r="F19" s="3">
        <f>SUM(B19:E19)</f>
        <v>44800</v>
      </c>
    </row>
    <row r="20" spans="1:6" ht="16.5" thickBot="1">
      <c r="A20" s="13" t="s">
        <v>97</v>
      </c>
      <c r="B20" s="13">
        <f>SUM(B15:B19)</f>
        <v>54300</v>
      </c>
      <c r="C20" s="13">
        <f>SUM(C15:C19)</f>
        <v>57120</v>
      </c>
      <c r="D20" s="13">
        <f>SUM(D15:D19)</f>
        <v>66080</v>
      </c>
      <c r="E20" s="13">
        <f>SUM(E15:E19)</f>
        <v>64960</v>
      </c>
      <c r="F20" s="13">
        <f>SUM(F15:F19)</f>
        <v>242460</v>
      </c>
    </row>
    <row r="21" ht="15.75" thickTop="1"/>
  </sheetData>
  <mergeCells count="1">
    <mergeCell ref="B13:F1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98</v>
      </c>
    </row>
    <row r="2" ht="15"/>
    <row r="3" ht="15"/>
    <row r="4" ht="15"/>
    <row r="5" spans="2:6" ht="15.75">
      <c r="B5" s="6" t="s">
        <v>80</v>
      </c>
      <c r="C5" s="6" t="s">
        <v>81</v>
      </c>
      <c r="D5" s="6" t="s">
        <v>82</v>
      </c>
      <c r="E5" s="6" t="s">
        <v>83</v>
      </c>
      <c r="F5" s="6" t="s">
        <v>84</v>
      </c>
    </row>
    <row r="6" spans="1:6" ht="15">
      <c r="A6" s="2" t="s">
        <v>99</v>
      </c>
      <c r="B6" s="2">
        <f>Umsatzplan!B9</f>
        <v>800</v>
      </c>
      <c r="C6" s="2">
        <f>Umsatzplan!C9</f>
        <v>700</v>
      </c>
      <c r="D6" s="2">
        <f>Umsatzplan!D9</f>
        <v>900</v>
      </c>
      <c r="E6" s="2">
        <f>Umsatzplan!E9</f>
        <v>800</v>
      </c>
      <c r="F6" s="2">
        <f>SUM(B6:E6)</f>
        <v>3200</v>
      </c>
    </row>
    <row r="7" spans="1:6" ht="15">
      <c r="A7" s="3" t="s">
        <v>100</v>
      </c>
      <c r="B7" s="3">
        <f>C6*0.1</f>
        <v>70</v>
      </c>
      <c r="C7" s="3">
        <f>D6*0.1</f>
        <v>90</v>
      </c>
      <c r="D7" s="3">
        <f>E6*0.1</f>
        <v>80</v>
      </c>
      <c r="E7" s="3">
        <v>100</v>
      </c>
      <c r="F7" s="3">
        <f>E7</f>
        <v>100</v>
      </c>
    </row>
    <row r="8" spans="1:6" ht="15">
      <c r="A8" s="2" t="s">
        <v>103</v>
      </c>
      <c r="B8" s="2">
        <f>SUM(B6:B7)</f>
        <v>870</v>
      </c>
      <c r="C8" s="2">
        <f>SUM(C6:C7)</f>
        <v>790</v>
      </c>
      <c r="D8" s="2">
        <f>SUM(D6:D7)</f>
        <v>980</v>
      </c>
      <c r="E8" s="2">
        <f>SUM(E6:E7)</f>
        <v>900</v>
      </c>
      <c r="F8" s="2">
        <f>SUM(F6:F7)</f>
        <v>3300</v>
      </c>
    </row>
    <row r="9" spans="1:6" ht="15">
      <c r="A9" s="3" t="s">
        <v>102</v>
      </c>
      <c r="B9" s="3">
        <f>B6*0.1</f>
        <v>80</v>
      </c>
      <c r="C9" s="3">
        <f>C6*0.1</f>
        <v>70</v>
      </c>
      <c r="D9" s="3">
        <f>D6*0.1</f>
        <v>90</v>
      </c>
      <c r="E9" s="3">
        <f>E6*0.1</f>
        <v>80</v>
      </c>
      <c r="F9" s="3">
        <f>B9</f>
        <v>80</v>
      </c>
    </row>
    <row r="10" spans="1:6" ht="16.5" thickBot="1">
      <c r="A10" s="13" t="s">
        <v>101</v>
      </c>
      <c r="B10" s="13">
        <f>B8-B9</f>
        <v>790</v>
      </c>
      <c r="C10" s="13">
        <f>C8-C9</f>
        <v>720</v>
      </c>
      <c r="D10" s="13">
        <f>D8-D9</f>
        <v>890</v>
      </c>
      <c r="E10" s="13">
        <f>E8-E9</f>
        <v>820</v>
      </c>
      <c r="F10" s="13">
        <f>SUM(B10:E10)</f>
        <v>3220</v>
      </c>
    </row>
    <row r="11" ht="15.75" thickTop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104</v>
      </c>
    </row>
    <row r="2" ht="15"/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101</v>
      </c>
      <c r="B4" s="2">
        <f>Produktionsplan!B10</f>
        <v>790</v>
      </c>
      <c r="C4" s="2">
        <f>Produktionsplan!C10</f>
        <v>720</v>
      </c>
      <c r="D4" s="2">
        <f>Produktionsplan!D10</f>
        <v>890</v>
      </c>
      <c r="E4" s="2">
        <f>Produktionsplan!E10</f>
        <v>820</v>
      </c>
      <c r="F4" s="2">
        <f>SUM(B4:E4)</f>
        <v>3220</v>
      </c>
    </row>
    <row r="5" spans="1:6" ht="15">
      <c r="A5" s="3" t="s">
        <v>105</v>
      </c>
      <c r="B5" s="3">
        <v>3</v>
      </c>
      <c r="C5" s="3">
        <v>3</v>
      </c>
      <c r="D5" s="3">
        <v>3</v>
      </c>
      <c r="E5" s="3">
        <v>3</v>
      </c>
      <c r="F5" s="3">
        <f>SUM(B5:E5)/4</f>
        <v>3</v>
      </c>
    </row>
    <row r="6" spans="1:6" ht="15">
      <c r="A6" s="2" t="s">
        <v>106</v>
      </c>
      <c r="B6" s="2">
        <f>B4*B5</f>
        <v>2370</v>
      </c>
      <c r="C6" s="2">
        <f>C4*C5</f>
        <v>2160</v>
      </c>
      <c r="D6" s="2">
        <f>D4*D5</f>
        <v>2670</v>
      </c>
      <c r="E6" s="2">
        <f>E4*E5</f>
        <v>2460</v>
      </c>
      <c r="F6" s="2">
        <f>SUM(B6:E6)</f>
        <v>9660</v>
      </c>
    </row>
    <row r="7" spans="1:6" ht="15">
      <c r="A7" s="3" t="s">
        <v>100</v>
      </c>
      <c r="B7" s="3">
        <f>0.1*C6</f>
        <v>216</v>
      </c>
      <c r="C7" s="3">
        <f>0.1*D6</f>
        <v>267</v>
      </c>
      <c r="D7" s="3">
        <f>0.1*E6</f>
        <v>246</v>
      </c>
      <c r="E7" s="3">
        <v>250</v>
      </c>
      <c r="F7" s="3">
        <f>E7</f>
        <v>250</v>
      </c>
    </row>
    <row r="8" spans="1:6" ht="15">
      <c r="A8" s="2" t="s">
        <v>107</v>
      </c>
      <c r="B8" s="2">
        <f>B6+B7</f>
        <v>2586</v>
      </c>
      <c r="C8" s="2">
        <f>C6+C7</f>
        <v>2427</v>
      </c>
      <c r="D8" s="2">
        <f>D6+D7</f>
        <v>2916</v>
      </c>
      <c r="E8" s="2">
        <f>E6+E7</f>
        <v>2710</v>
      </c>
      <c r="F8" s="2">
        <f>F6+F7</f>
        <v>9910</v>
      </c>
    </row>
    <row r="9" spans="1:6" ht="15">
      <c r="A9" s="3" t="s">
        <v>102</v>
      </c>
      <c r="B9" s="3">
        <f>0.1*B6</f>
        <v>237</v>
      </c>
      <c r="C9" s="3">
        <f>0.1*C6</f>
        <v>216</v>
      </c>
      <c r="D9" s="3">
        <f>0.1*D6</f>
        <v>267</v>
      </c>
      <c r="E9" s="3">
        <f>0.1*E6</f>
        <v>246</v>
      </c>
      <c r="F9" s="3">
        <f>B9</f>
        <v>237</v>
      </c>
    </row>
    <row r="10" spans="1:6" ht="15">
      <c r="A10" s="2" t="s">
        <v>108</v>
      </c>
      <c r="B10" s="2">
        <f>B8-B9</f>
        <v>2349</v>
      </c>
      <c r="C10" s="2">
        <f>C8-C9</f>
        <v>2211</v>
      </c>
      <c r="D10" s="2">
        <f>D8-D9</f>
        <v>2649</v>
      </c>
      <c r="E10" s="2">
        <f>E8-E9</f>
        <v>2464</v>
      </c>
      <c r="F10" s="2">
        <f>F8-F9</f>
        <v>9673</v>
      </c>
    </row>
    <row r="11" spans="1:6" ht="15">
      <c r="A11" s="3" t="s">
        <v>25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</row>
    <row r="12" spans="1:6" ht="16.5" thickBot="1">
      <c r="A12" s="13" t="s">
        <v>26</v>
      </c>
      <c r="B12" s="13">
        <f>B10*B11</f>
        <v>4698</v>
      </c>
      <c r="C12" s="13">
        <f>C10*C11</f>
        <v>4422</v>
      </c>
      <c r="D12" s="13">
        <f>D10*D11</f>
        <v>5298</v>
      </c>
      <c r="E12" s="13">
        <f>E10*E11</f>
        <v>4928</v>
      </c>
      <c r="F12" s="13">
        <f>F10*F11</f>
        <v>19346</v>
      </c>
    </row>
    <row r="13" spans="1:6" ht="16.5" thickTop="1">
      <c r="A13" s="14"/>
      <c r="B13" s="14"/>
      <c r="C13" s="14"/>
      <c r="D13" s="14"/>
      <c r="E13" s="14"/>
      <c r="F13" s="14"/>
    </row>
    <row r="14" spans="1:6" ht="15.75">
      <c r="A14" s="15" t="s">
        <v>111</v>
      </c>
      <c r="B14" s="15"/>
      <c r="C14" s="16">
        <v>0.5</v>
      </c>
      <c r="D14" s="14"/>
      <c r="E14" s="14"/>
      <c r="F14" s="14"/>
    </row>
    <row r="15" spans="1:6" ht="15.75">
      <c r="A15" s="15" t="s">
        <v>112</v>
      </c>
      <c r="B15" s="15"/>
      <c r="C15" s="16">
        <f>1-C14</f>
        <v>0.5</v>
      </c>
      <c r="D15" s="14"/>
      <c r="E15" s="14"/>
      <c r="F15" s="14"/>
    </row>
    <row r="17" spans="2:6" ht="15.75">
      <c r="B17" s="30" t="s">
        <v>109</v>
      </c>
      <c r="C17" s="30"/>
      <c r="D17" s="30"/>
      <c r="E17" s="30"/>
      <c r="F17" s="30"/>
    </row>
    <row r="18" spans="2:6" ht="15.75">
      <c r="B18" s="6" t="s">
        <v>80</v>
      </c>
      <c r="C18" s="6" t="s">
        <v>81</v>
      </c>
      <c r="D18" s="6" t="s">
        <v>82</v>
      </c>
      <c r="E18" s="6" t="s">
        <v>83</v>
      </c>
      <c r="F18" s="6" t="s">
        <v>84</v>
      </c>
    </row>
    <row r="19" spans="1:6" ht="15">
      <c r="A19" s="2" t="s">
        <v>110</v>
      </c>
      <c r="B19" s="2">
        <v>2200</v>
      </c>
      <c r="F19" s="2">
        <f>SUM(B19:E19)</f>
        <v>2200</v>
      </c>
    </row>
    <row r="20" spans="1:6" ht="15">
      <c r="A20" s="2" t="s">
        <v>113</v>
      </c>
      <c r="B20" s="2">
        <f>EinkaufQ1*gleichbezahlt</f>
        <v>2349</v>
      </c>
      <c r="C20" s="2">
        <f>EinkaufQ1*späterbezahlt</f>
        <v>2349</v>
      </c>
      <c r="F20" s="2">
        <f>SUM(B20:E20)</f>
        <v>4698</v>
      </c>
    </row>
    <row r="21" spans="1:6" ht="15">
      <c r="A21" s="2" t="s">
        <v>114</v>
      </c>
      <c r="C21" s="2">
        <f>EinkaufQ2*gleichbezahlt</f>
        <v>2211</v>
      </c>
      <c r="D21" s="2">
        <f>EinkaufQ2*späterbezahlt</f>
        <v>2211</v>
      </c>
      <c r="F21" s="2">
        <f>SUM(B21:E21)</f>
        <v>4422</v>
      </c>
    </row>
    <row r="22" spans="1:6" ht="15">
      <c r="A22" s="2" t="s">
        <v>115</v>
      </c>
      <c r="D22" s="2">
        <f>EinkaufQ3*gleichbezahlt</f>
        <v>2649</v>
      </c>
      <c r="E22" s="2">
        <f>EinkaufQ3*späterbezahlt</f>
        <v>2649</v>
      </c>
      <c r="F22" s="2">
        <f>SUM(B22:E22)</f>
        <v>5298</v>
      </c>
    </row>
    <row r="23" spans="1:6" ht="15">
      <c r="A23" s="3" t="s">
        <v>116</v>
      </c>
      <c r="B23" s="3"/>
      <c r="C23" s="3"/>
      <c r="D23" s="3"/>
      <c r="E23" s="3">
        <f>EinkaufQ4*gleichbezahlt</f>
        <v>2464</v>
      </c>
      <c r="F23" s="3">
        <f>SUM(B23:E23)</f>
        <v>2464</v>
      </c>
    </row>
    <row r="24" spans="1:6" ht="16.5" thickBot="1">
      <c r="A24" s="13" t="s">
        <v>117</v>
      </c>
      <c r="B24" s="13">
        <f>SUM(B19:B23)</f>
        <v>4549</v>
      </c>
      <c r="C24" s="13">
        <f>SUM(C19:C23)</f>
        <v>4560</v>
      </c>
      <c r="D24" s="13">
        <f>SUM(D19:D23)</f>
        <v>4860</v>
      </c>
      <c r="E24" s="13">
        <f>SUM(E19:E23)</f>
        <v>5113</v>
      </c>
      <c r="F24" s="13">
        <f>SUM(F19:F23)</f>
        <v>19082</v>
      </c>
    </row>
    <row r="25" ht="15.75" thickTop="1"/>
  </sheetData>
  <mergeCells count="1">
    <mergeCell ref="B17:F17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118</v>
      </c>
    </row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101</v>
      </c>
      <c r="B4" s="2">
        <f>Produktionsplan!B10</f>
        <v>790</v>
      </c>
      <c r="C4" s="2">
        <f>Produktionsplan!C10</f>
        <v>720</v>
      </c>
      <c r="D4" s="2">
        <f>Produktionsplan!D10</f>
        <v>890</v>
      </c>
      <c r="E4" s="2">
        <f>Produktionsplan!E10</f>
        <v>820</v>
      </c>
      <c r="F4" s="2">
        <f>SUM(B4:E4)</f>
        <v>3220</v>
      </c>
    </row>
    <row r="5" spans="1:6" ht="15">
      <c r="A5" s="3" t="s">
        <v>119</v>
      </c>
      <c r="B5" s="3">
        <v>5</v>
      </c>
      <c r="C5" s="3">
        <v>5</v>
      </c>
      <c r="D5" s="3">
        <v>5</v>
      </c>
      <c r="E5" s="3">
        <v>5</v>
      </c>
      <c r="F5" s="3">
        <f>SUM(B5:E5)/4</f>
        <v>5</v>
      </c>
    </row>
    <row r="6" spans="1:6" ht="15">
      <c r="A6" s="2" t="s">
        <v>122</v>
      </c>
      <c r="B6" s="2">
        <f>B4*B5</f>
        <v>3950</v>
      </c>
      <c r="C6" s="2">
        <f>C4*C5</f>
        <v>3600</v>
      </c>
      <c r="D6" s="2">
        <f>D4*D5</f>
        <v>4450</v>
      </c>
      <c r="E6" s="2">
        <f>E4*E5</f>
        <v>4100</v>
      </c>
      <c r="F6" s="2">
        <f>SUM(B6:E6)</f>
        <v>16100</v>
      </c>
    </row>
    <row r="7" spans="1:6" ht="15">
      <c r="A7" s="3" t="s">
        <v>120</v>
      </c>
      <c r="B7" s="3">
        <v>5</v>
      </c>
      <c r="C7" s="3">
        <v>5</v>
      </c>
      <c r="D7" s="3">
        <v>5</v>
      </c>
      <c r="E7" s="3">
        <v>5</v>
      </c>
      <c r="F7" s="3">
        <f>SUM(B7:E7)/4</f>
        <v>5</v>
      </c>
    </row>
    <row r="8" spans="1:6" ht="16.5" thickBot="1">
      <c r="A8" s="13" t="s">
        <v>26</v>
      </c>
      <c r="B8" s="13">
        <f>B6*B7</f>
        <v>19750</v>
      </c>
      <c r="C8" s="13">
        <f>C6*C7</f>
        <v>18000</v>
      </c>
      <c r="D8" s="13">
        <f>D6*D7</f>
        <v>22250</v>
      </c>
      <c r="E8" s="13">
        <f>E6*E7</f>
        <v>20500</v>
      </c>
      <c r="F8" s="13">
        <f>F6*F7</f>
        <v>80500</v>
      </c>
    </row>
    <row r="9" spans="1:6" ht="16.5" thickTop="1">
      <c r="A9" s="14"/>
      <c r="B9" s="14"/>
      <c r="C9" s="14"/>
      <c r="D9" s="14"/>
      <c r="E9" s="14"/>
      <c r="F9" s="1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28125" style="2" bestFit="1" customWidth="1"/>
    <col min="2" max="5" width="11.421875" style="2" customWidth="1"/>
    <col min="6" max="6" width="13.7109375" style="2" bestFit="1" customWidth="1"/>
    <col min="7" max="16384" width="11.421875" style="2" customWidth="1"/>
  </cols>
  <sheetData>
    <row r="1" ht="20.25">
      <c r="A1" s="1" t="s">
        <v>121</v>
      </c>
    </row>
    <row r="3" spans="2:6" ht="15.75"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</row>
    <row r="4" spans="1:6" ht="15">
      <c r="A4" s="2" t="s">
        <v>123</v>
      </c>
      <c r="B4" s="2">
        <f>Arbeitsplan!B6</f>
        <v>3950</v>
      </c>
      <c r="C4" s="2">
        <f>Arbeitsplan!C6</f>
        <v>3600</v>
      </c>
      <c r="D4" s="2">
        <f>Arbeitsplan!D6</f>
        <v>4450</v>
      </c>
      <c r="E4" s="2">
        <f>Arbeitsplan!E6</f>
        <v>4100</v>
      </c>
      <c r="F4" s="2">
        <f>SUM(B4:E4)</f>
        <v>16100</v>
      </c>
    </row>
    <row r="5" spans="1:6" ht="15">
      <c r="A5" s="3" t="s">
        <v>124</v>
      </c>
      <c r="B5" s="3">
        <v>2</v>
      </c>
      <c r="C5" s="3">
        <v>2</v>
      </c>
      <c r="D5" s="3">
        <v>2</v>
      </c>
      <c r="E5" s="3">
        <v>2</v>
      </c>
      <c r="F5" s="3">
        <f>SUM(B5:E5)/4</f>
        <v>2</v>
      </c>
    </row>
    <row r="6" spans="1:6" ht="15">
      <c r="A6" s="2" t="s">
        <v>125</v>
      </c>
      <c r="B6" s="2">
        <f>B4*B5</f>
        <v>7900</v>
      </c>
      <c r="C6" s="2">
        <f>C4*C5</f>
        <v>7200</v>
      </c>
      <c r="D6" s="2">
        <f>D4*D5</f>
        <v>8900</v>
      </c>
      <c r="E6" s="2">
        <f>E4*E5</f>
        <v>8200</v>
      </c>
      <c r="F6" s="2">
        <f>F4*F5</f>
        <v>32200</v>
      </c>
    </row>
    <row r="7" spans="1:6" ht="15">
      <c r="A7" s="3" t="s">
        <v>126</v>
      </c>
      <c r="B7" s="3">
        <v>6000</v>
      </c>
      <c r="C7" s="3">
        <v>6000</v>
      </c>
      <c r="D7" s="3">
        <v>6000</v>
      </c>
      <c r="E7" s="3">
        <v>6000</v>
      </c>
      <c r="F7" s="3">
        <f>SUM(B7:E7)</f>
        <v>24000</v>
      </c>
    </row>
    <row r="8" spans="1:6" ht="15.75">
      <c r="A8" s="4" t="s">
        <v>127</v>
      </c>
      <c r="B8" s="4">
        <f>SUM(B6:B7)</f>
        <v>13900</v>
      </c>
      <c r="C8" s="4">
        <f>SUM(C6:C7)</f>
        <v>13200</v>
      </c>
      <c r="D8" s="4">
        <f>SUM(D6:D7)</f>
        <v>14900</v>
      </c>
      <c r="E8" s="4">
        <f>SUM(E6:E7)</f>
        <v>14200</v>
      </c>
      <c r="F8" s="4">
        <f>SUM(F6:F7)</f>
        <v>56200</v>
      </c>
    </row>
    <row r="9" spans="1:6" ht="15">
      <c r="A9" s="3" t="s">
        <v>128</v>
      </c>
      <c r="B9" s="3">
        <f>3250</f>
        <v>3250</v>
      </c>
      <c r="C9" s="3">
        <f>3250</f>
        <v>3250</v>
      </c>
      <c r="D9" s="3">
        <f>3250</f>
        <v>3250</v>
      </c>
      <c r="E9" s="3">
        <f>3250</f>
        <v>3250</v>
      </c>
      <c r="F9" s="3">
        <f>SUM(B9:E9)</f>
        <v>13000</v>
      </c>
    </row>
    <row r="10" spans="1:6" ht="16.5" thickBot="1">
      <c r="A10" s="13" t="s">
        <v>129</v>
      </c>
      <c r="B10" s="13">
        <f>B8-B9</f>
        <v>10650</v>
      </c>
      <c r="C10" s="13">
        <f>C8-C9</f>
        <v>9950</v>
      </c>
      <c r="D10" s="13">
        <f>D8-D9</f>
        <v>11650</v>
      </c>
      <c r="E10" s="13">
        <f>E8-E9</f>
        <v>10950</v>
      </c>
      <c r="F10" s="13">
        <f>F8-F9</f>
        <v>43200</v>
      </c>
    </row>
    <row r="11" ht="15.7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Hörmann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Hörmann</dc:creator>
  <cp:keywords/>
  <dc:description/>
  <cp:lastModifiedBy>fh_laptop</cp:lastModifiedBy>
  <dcterms:created xsi:type="dcterms:W3CDTF">2000-05-25T20:46:22Z</dcterms:created>
  <dcterms:modified xsi:type="dcterms:W3CDTF">2001-11-17T12:20:40Z</dcterms:modified>
  <cp:category/>
  <cp:version/>
  <cp:contentType/>
  <cp:contentStatus/>
</cp:coreProperties>
</file>